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hidePivotFieldList="1" defaultThemeVersion="124226"/>
  <mc:AlternateContent xmlns:mc="http://schemas.openxmlformats.org/markup-compatibility/2006">
    <mc:Choice Requires="x15">
      <x15ac:absPath xmlns:x15ac="http://schemas.microsoft.com/office/spreadsheetml/2010/11/ac" url="C:\Users\tszymanski\Documents\Akademia meblowa\Szkolenie wrzesień 2016\Konfiguratory\"/>
    </mc:Choice>
  </mc:AlternateContent>
  <workbookProtection workbookPassword="ED45" lockStructure="1"/>
  <bookViews>
    <workbookView xWindow="0" yWindow="0" windowWidth="28800" windowHeight="12720" tabRatio="766" firstSheet="1" activeTab="1"/>
  </bookViews>
  <sheets>
    <sheet name="Version" sheetId="18" state="hidden" r:id="rId1"/>
    <sheet name="START" sheetId="10" r:id="rId2"/>
    <sheet name="VIO1" sheetId="12" r:id="rId3"/>
    <sheet name="VIO2" sheetId="17" r:id="rId4"/>
    <sheet name="VIO3" sheetId="19" r:id="rId5"/>
    <sheet name="VIO4" sheetId="6" r:id="rId6"/>
    <sheet name="VIO5" sheetId="8" r:id="rId7"/>
    <sheet name="VIO6" sheetId="20" r:id="rId8"/>
    <sheet name="VIONARO" sheetId="1" state="hidden" r:id="rId9"/>
    <sheet name="Auswahl Führung" sheetId="7" state="hidden" r:id="rId10"/>
    <sheet name="Formeln" sheetId="2" state="hidden" r:id="rId11"/>
    <sheet name="Sprachen" sheetId="3" state="hidden" r:id="rId12"/>
    <sheet name="Bildern" sheetId="4" state="hidden" r:id="rId13"/>
    <sheet name="Artikeldaten" sheetId="5" state="hidden" r:id="rId14"/>
    <sheet name="Tabelle1" sheetId="9" state="hidden" r:id="rId15"/>
    <sheet name="SPRACHE TITEL" sheetId="11" state="hidden" r:id="rId16"/>
    <sheet name="NP SCL" sheetId="15" state="hidden" r:id="rId17"/>
    <sheet name="Tabelle4" sheetId="23" state="hidden" r:id="rId18"/>
    <sheet name="Tabelle5" sheetId="24" state="hidden" r:id="rId19"/>
  </sheets>
  <definedNames>
    <definedName name="_xlnm._FilterDatabase" localSheetId="13" hidden="1">Artikeldaten!$A$1:$K$255</definedName>
    <definedName name="activ2">Tabelle5!$A$2:$A$26</definedName>
    <definedName name="activité">Tabelle4!$B$2:$B$29</definedName>
    <definedName name="bild">Bildern!$A$1:$A$1</definedName>
    <definedName name="FOTO">OFFSET(Bildern!$A$2,0,VIONARO!$B$9,1,1)</definedName>
    <definedName name="FOTOS">OFFSET(Bildern!$A$1,0,VIONARO!$B$9,1,1)</definedName>
    <definedName name="FRONTD">Bildern!$D$5</definedName>
    <definedName name="GRAFIK5">Bildern!$A$5:$D$5</definedName>
    <definedName name="MEINEBILDERN">OFFSET(Bildern!$A$1,0,VIONARO!$B$10,1,1)</definedName>
    <definedName name="_xlnm.Print_Area" localSheetId="5">'VIO4'!$B$2:$AG$53</definedName>
    <definedName name="_xlnm.Print_Area" localSheetId="6">'VIO5'!$B$2:$AG$40</definedName>
    <definedName name="_xlnm.Print_Area" localSheetId="7">'VIO6'!$B$2:$AG$119</definedName>
    <definedName name="SKIZZE">OFFSET(Bildern!$A$4,0,VIONARO!$B$10,1,1)</definedName>
    <definedName name="SKIZZE2">OFFSET(Bildern!$A$3,0,VIONARO!$B$10,1,1)</definedName>
    <definedName name="SKIZZE3">OFFSET(Bildern!$A$6,0,VIONARO!$B$10,1,1)</definedName>
    <definedName name="SKIZZE4">OFFSET(Bildern!$A$5,0,VIONARO!$B$10,1,1)</definedName>
    <definedName name="Sl">#REF!</definedName>
    <definedName name="Sprache">Sprachen!$A$2:$H$2</definedName>
    <definedName name="Stückliste">Formeln!$B$96:$B$124</definedName>
    <definedName name="_xlnm.Print_Titles" localSheetId="7">'VIO6'!$2:$15</definedName>
    <definedName name="Übersetzung">Sprachen!$A$2:$H$43</definedName>
  </definedNames>
  <calcPr calcId="152511"/>
</workbook>
</file>

<file path=xl/calcChain.xml><?xml version="1.0" encoding="utf-8"?>
<calcChain xmlns="http://schemas.openxmlformats.org/spreadsheetml/2006/main">
  <c r="I10" i="1" l="1"/>
  <c r="S19" i="1" l="1"/>
  <c r="S21" i="1"/>
  <c r="S23" i="1"/>
  <c r="S25" i="1"/>
  <c r="I4" i="1" l="1"/>
  <c r="AC26" i="12" s="1"/>
  <c r="M3" i="11"/>
  <c r="M4" i="11"/>
  <c r="M5" i="11"/>
  <c r="M6" i="11"/>
  <c r="M7" i="11"/>
  <c r="M8" i="11"/>
  <c r="M9" i="11"/>
  <c r="M2" i="11"/>
  <c r="S26" i="12" l="1"/>
  <c r="D34" i="12"/>
  <c r="K26" i="12"/>
  <c r="B26" i="12"/>
  <c r="D3" i="11"/>
  <c r="E3" i="11"/>
  <c r="F3" i="11"/>
  <c r="G3" i="11"/>
  <c r="H3" i="11"/>
  <c r="I3" i="11"/>
  <c r="J3" i="11"/>
  <c r="K3" i="11"/>
  <c r="L3" i="11"/>
  <c r="N3" i="11"/>
  <c r="D4" i="11"/>
  <c r="E4" i="11"/>
  <c r="F4" i="11"/>
  <c r="G4" i="11"/>
  <c r="H4" i="11"/>
  <c r="I4" i="11"/>
  <c r="J4" i="11"/>
  <c r="K4" i="11"/>
  <c r="L4" i="11"/>
  <c r="N4" i="11"/>
  <c r="D5" i="11"/>
  <c r="E5" i="11"/>
  <c r="F5" i="11"/>
  <c r="G5" i="11"/>
  <c r="H5" i="11"/>
  <c r="I5" i="11"/>
  <c r="J5" i="11"/>
  <c r="K5" i="11"/>
  <c r="L5" i="11"/>
  <c r="N5" i="11"/>
  <c r="D6" i="11"/>
  <c r="E6" i="11"/>
  <c r="F6" i="11"/>
  <c r="G6" i="11"/>
  <c r="H6" i="11"/>
  <c r="I6" i="11"/>
  <c r="J6" i="11"/>
  <c r="K6" i="11"/>
  <c r="L6" i="11"/>
  <c r="N6" i="11"/>
  <c r="D7" i="11"/>
  <c r="E7" i="11"/>
  <c r="F7" i="11"/>
  <c r="G7" i="11"/>
  <c r="H7" i="11"/>
  <c r="I7" i="11"/>
  <c r="J7" i="11"/>
  <c r="K7" i="11"/>
  <c r="L7" i="11"/>
  <c r="N7" i="11"/>
  <c r="D8" i="11"/>
  <c r="E8" i="11"/>
  <c r="F8" i="11"/>
  <c r="G8" i="11"/>
  <c r="H8" i="11"/>
  <c r="I8" i="11"/>
  <c r="J8" i="11"/>
  <c r="K8" i="11"/>
  <c r="L8" i="11"/>
  <c r="N8" i="11"/>
  <c r="D9" i="11"/>
  <c r="E9" i="11"/>
  <c r="F9" i="11"/>
  <c r="G9" i="11"/>
  <c r="H9" i="11"/>
  <c r="I9" i="11"/>
  <c r="J9" i="11"/>
  <c r="K9" i="11"/>
  <c r="L9" i="11"/>
  <c r="N9" i="11"/>
  <c r="E2" i="11"/>
  <c r="F2" i="11"/>
  <c r="G2" i="11"/>
  <c r="H2" i="11"/>
  <c r="I2" i="11"/>
  <c r="J2" i="11"/>
  <c r="K2" i="11"/>
  <c r="L2" i="11"/>
  <c r="N2" i="11"/>
  <c r="D2" i="11"/>
  <c r="H260" i="5" l="1"/>
  <c r="F260" i="5"/>
  <c r="H259" i="5"/>
  <c r="F259" i="5"/>
  <c r="H255" i="5"/>
  <c r="H254" i="5" l="1"/>
  <c r="H253" i="5"/>
  <c r="H252" i="5"/>
  <c r="H251" i="5"/>
  <c r="H258" i="5" l="1"/>
  <c r="F258" i="5"/>
  <c r="H257" i="5"/>
  <c r="F257" i="5"/>
  <c r="H256" i="5"/>
  <c r="F256" i="5"/>
  <c r="F251" i="5"/>
  <c r="F252" i="5"/>
  <c r="F253" i="5"/>
  <c r="F254" i="5"/>
  <c r="F255" i="5"/>
  <c r="C21" i="24" l="1"/>
  <c r="B22" i="24"/>
  <c r="F22" i="24"/>
  <c r="B6" i="24"/>
  <c r="C6" i="24"/>
  <c r="F6" i="24"/>
  <c r="E7" i="24"/>
  <c r="D8" i="24"/>
  <c r="B15" i="24"/>
  <c r="C15" i="24"/>
  <c r="F15" i="24"/>
  <c r="B20" i="24"/>
  <c r="E20" i="24"/>
  <c r="F20" i="24"/>
  <c r="B140" i="2"/>
  <c r="C140" i="2"/>
  <c r="A140" i="2" s="1"/>
  <c r="A6" i="24" s="1"/>
  <c r="D140" i="2"/>
  <c r="D6" i="24" s="1"/>
  <c r="E140" i="2"/>
  <c r="E6" i="24" s="1"/>
  <c r="F140" i="2"/>
  <c r="B141" i="2"/>
  <c r="B7" i="24" s="1"/>
  <c r="C141" i="2"/>
  <c r="C7" i="24" s="1"/>
  <c r="D141" i="2"/>
  <c r="D7" i="24" s="1"/>
  <c r="E141" i="2"/>
  <c r="F141" i="2"/>
  <c r="F7" i="24" s="1"/>
  <c r="B142" i="2"/>
  <c r="B8" i="24" s="1"/>
  <c r="C142" i="2"/>
  <c r="C8" i="24" s="1"/>
  <c r="D142" i="2"/>
  <c r="E142" i="2"/>
  <c r="E8" i="24" s="1"/>
  <c r="F142" i="2"/>
  <c r="F8" i="24" s="1"/>
  <c r="B147" i="2"/>
  <c r="B13" i="24" s="1"/>
  <c r="C147" i="2"/>
  <c r="A147" i="2" s="1"/>
  <c r="A13" i="24" s="1"/>
  <c r="D147" i="2"/>
  <c r="D13" i="24" s="1"/>
  <c r="E147" i="2"/>
  <c r="E13" i="24" s="1"/>
  <c r="F147" i="2"/>
  <c r="F13" i="24" s="1"/>
  <c r="B148" i="2"/>
  <c r="B14" i="24" s="1"/>
  <c r="C148" i="2"/>
  <c r="A148" i="2" s="1"/>
  <c r="A14" i="24" s="1"/>
  <c r="D148" i="2"/>
  <c r="D14" i="24" s="1"/>
  <c r="E148" i="2"/>
  <c r="E14" i="24" s="1"/>
  <c r="F148" i="2"/>
  <c r="F14" i="24" s="1"/>
  <c r="B149" i="2"/>
  <c r="C149" i="2"/>
  <c r="A149" i="2" s="1"/>
  <c r="A15" i="24" s="1"/>
  <c r="D149" i="2"/>
  <c r="D15" i="24" s="1"/>
  <c r="E149" i="2"/>
  <c r="E15" i="24" s="1"/>
  <c r="F149" i="2"/>
  <c r="B154" i="2"/>
  <c r="C154" i="2"/>
  <c r="A154" i="2" s="1"/>
  <c r="A20" i="24" s="1"/>
  <c r="D154" i="2"/>
  <c r="D20" i="24" s="1"/>
  <c r="E154" i="2"/>
  <c r="F154" i="2"/>
  <c r="B155" i="2"/>
  <c r="B21" i="24" s="1"/>
  <c r="C155" i="2"/>
  <c r="A155" i="2" s="1"/>
  <c r="A21" i="24" s="1"/>
  <c r="D155" i="2"/>
  <c r="D21" i="24" s="1"/>
  <c r="E155" i="2"/>
  <c r="E21" i="24" s="1"/>
  <c r="F155" i="2"/>
  <c r="F21" i="24" s="1"/>
  <c r="B156" i="2"/>
  <c r="C156" i="2"/>
  <c r="A156" i="2" s="1"/>
  <c r="A22" i="24" s="1"/>
  <c r="D156" i="2"/>
  <c r="D22" i="24" s="1"/>
  <c r="E156" i="2"/>
  <c r="E22" i="24" s="1"/>
  <c r="F156" i="2"/>
  <c r="A142" i="2" l="1"/>
  <c r="A8" i="24" s="1"/>
  <c r="C20" i="24"/>
  <c r="C13" i="24"/>
  <c r="C22" i="24"/>
  <c r="A141" i="2"/>
  <c r="A7" i="24" s="1"/>
  <c r="C14" i="24"/>
  <c r="M20" i="1"/>
  <c r="M22" i="1"/>
  <c r="M24" i="1"/>
  <c r="A10" i="11" l="1"/>
  <c r="V21" i="9"/>
  <c r="Q21" i="9"/>
  <c r="L21" i="9"/>
  <c r="F21" i="9"/>
  <c r="V19" i="9"/>
  <c r="Q19" i="9"/>
  <c r="L19" i="9"/>
  <c r="F19" i="9"/>
  <c r="V17" i="9"/>
  <c r="Q17" i="9"/>
  <c r="L17" i="9"/>
  <c r="F17" i="9"/>
  <c r="V15" i="9"/>
  <c r="Q15" i="9"/>
  <c r="L15" i="9"/>
  <c r="F15" i="9"/>
  <c r="F250" i="5"/>
  <c r="H249" i="5"/>
  <c r="F249" i="5"/>
  <c r="H248" i="5"/>
  <c r="F248" i="5"/>
  <c r="F247" i="5"/>
  <c r="F246" i="5"/>
  <c r="F245" i="5"/>
  <c r="H244" i="5"/>
  <c r="F244" i="5"/>
  <c r="F243" i="5"/>
  <c r="F242" i="5"/>
  <c r="F241" i="5"/>
  <c r="H240" i="5"/>
  <c r="F240" i="5"/>
  <c r="F239" i="5"/>
  <c r="H238" i="5"/>
  <c r="F238" i="5"/>
  <c r="H237" i="5"/>
  <c r="F237" i="5"/>
  <c r="F236" i="5"/>
  <c r="F235" i="5"/>
  <c r="F234" i="5"/>
  <c r="F233" i="5"/>
  <c r="F232" i="5"/>
  <c r="F231" i="5"/>
  <c r="F230" i="5"/>
  <c r="H229" i="5"/>
  <c r="F229" i="5"/>
  <c r="H228" i="5"/>
  <c r="F228" i="5"/>
  <c r="H227" i="5"/>
  <c r="F227" i="5"/>
  <c r="F226" i="5"/>
  <c r="F225" i="5"/>
  <c r="F224" i="5"/>
  <c r="F223" i="5"/>
  <c r="F222" i="5"/>
  <c r="F221" i="5"/>
  <c r="F220" i="5"/>
  <c r="F219" i="5"/>
  <c r="F218" i="5"/>
  <c r="F217" i="5"/>
  <c r="F216" i="5"/>
  <c r="H215" i="5"/>
  <c r="F215" i="5"/>
  <c r="H214" i="5"/>
  <c r="F214" i="5"/>
  <c r="H213" i="5"/>
  <c r="F213" i="5"/>
  <c r="F212" i="5"/>
  <c r="F211" i="5"/>
  <c r="F210" i="5"/>
  <c r="F209" i="5"/>
  <c r="F208" i="5"/>
  <c r="F207" i="5"/>
  <c r="H206" i="5"/>
  <c r="F206" i="5"/>
  <c r="H205" i="5"/>
  <c r="F205" i="5"/>
  <c r="H204" i="5"/>
  <c r="F204" i="5"/>
  <c r="H203" i="5"/>
  <c r="F203" i="5"/>
  <c r="H202" i="5"/>
  <c r="F202" i="5"/>
  <c r="H201" i="5"/>
  <c r="F201" i="5"/>
  <c r="H200" i="5"/>
  <c r="F200" i="5"/>
  <c r="H199" i="5"/>
  <c r="F199" i="5"/>
  <c r="H198" i="5"/>
  <c r="F198" i="5"/>
  <c r="H197" i="5"/>
  <c r="F197" i="5"/>
  <c r="H196" i="5"/>
  <c r="F196" i="5"/>
  <c r="H195" i="5"/>
  <c r="F195" i="5"/>
  <c r="H194" i="5"/>
  <c r="F194" i="5"/>
  <c r="H193" i="5"/>
  <c r="F193" i="5"/>
  <c r="H192" i="5"/>
  <c r="F192" i="5"/>
  <c r="H191" i="5"/>
  <c r="F191" i="5"/>
  <c r="H190" i="5"/>
  <c r="F190" i="5"/>
  <c r="H189" i="5"/>
  <c r="F189" i="5"/>
  <c r="H188" i="5"/>
  <c r="F188" i="5"/>
  <c r="H187" i="5"/>
  <c r="F187" i="5"/>
  <c r="H186" i="5"/>
  <c r="F186" i="5"/>
  <c r="H185" i="5"/>
  <c r="F185" i="5"/>
  <c r="H184" i="5"/>
  <c r="F184" i="5"/>
  <c r="H183" i="5"/>
  <c r="F183" i="5"/>
  <c r="H182" i="5"/>
  <c r="F182" i="5"/>
  <c r="H181" i="5"/>
  <c r="F181" i="5"/>
  <c r="H180" i="5"/>
  <c r="F180" i="5"/>
  <c r="H179" i="5"/>
  <c r="F179" i="5"/>
  <c r="H178" i="5"/>
  <c r="F178" i="5"/>
  <c r="H177" i="5"/>
  <c r="F177" i="5"/>
  <c r="H176" i="5"/>
  <c r="F176" i="5"/>
  <c r="F175" i="5"/>
  <c r="F174" i="5"/>
  <c r="F173" i="5"/>
  <c r="F172" i="5"/>
  <c r="F171" i="5"/>
  <c r="F170" i="5"/>
  <c r="F169" i="5"/>
  <c r="F168" i="5"/>
  <c r="F167" i="5"/>
  <c r="H166" i="5"/>
  <c r="F166" i="5"/>
  <c r="H165" i="5"/>
  <c r="F165" i="5"/>
  <c r="H164" i="5"/>
  <c r="F164" i="5"/>
  <c r="H163" i="5"/>
  <c r="F163" i="5"/>
  <c r="H162" i="5"/>
  <c r="F162" i="5"/>
  <c r="H161" i="5"/>
  <c r="F161" i="5"/>
  <c r="H160" i="5"/>
  <c r="F160" i="5"/>
  <c r="H159" i="5"/>
  <c r="F159" i="5"/>
  <c r="H158" i="5"/>
  <c r="F158" i="5"/>
  <c r="H157" i="5"/>
  <c r="F157" i="5"/>
  <c r="H156" i="5"/>
  <c r="F156" i="5"/>
  <c r="H155" i="5"/>
  <c r="F155" i="5"/>
  <c r="H154" i="5"/>
  <c r="F154" i="5"/>
  <c r="H153" i="5"/>
  <c r="F153" i="5"/>
  <c r="H152" i="5"/>
  <c r="F152" i="5"/>
  <c r="H151" i="5"/>
  <c r="F151" i="5"/>
  <c r="H150" i="5"/>
  <c r="F150" i="5"/>
  <c r="H149" i="5"/>
  <c r="F149" i="5"/>
  <c r="H148" i="5"/>
  <c r="F148" i="5"/>
  <c r="H147" i="5"/>
  <c r="F147" i="5"/>
  <c r="H146" i="5"/>
  <c r="F146" i="5"/>
  <c r="H145" i="5"/>
  <c r="F145" i="5"/>
  <c r="H144" i="5"/>
  <c r="F144" i="5"/>
  <c r="H143" i="5"/>
  <c r="F143" i="5"/>
  <c r="H142" i="5"/>
  <c r="F142" i="5"/>
  <c r="H141" i="5"/>
  <c r="F141" i="5"/>
  <c r="H140" i="5"/>
  <c r="F140" i="5"/>
  <c r="H139" i="5"/>
  <c r="F139" i="5"/>
  <c r="H138" i="5"/>
  <c r="F138" i="5"/>
  <c r="H137" i="5"/>
  <c r="F137" i="5"/>
  <c r="H136" i="5"/>
  <c r="F136" i="5"/>
  <c r="H135" i="5"/>
  <c r="F135" i="5"/>
  <c r="H134" i="5"/>
  <c r="F134" i="5"/>
  <c r="H133" i="5"/>
  <c r="F133" i="5"/>
  <c r="H132" i="5"/>
  <c r="F132" i="5"/>
  <c r="H131" i="5"/>
  <c r="F131" i="5"/>
  <c r="H130" i="5"/>
  <c r="F130" i="5"/>
  <c r="H129" i="5"/>
  <c r="F129" i="5"/>
  <c r="H128" i="5"/>
  <c r="F128" i="5"/>
  <c r="H127" i="5"/>
  <c r="F127" i="5"/>
  <c r="H126" i="5"/>
  <c r="F126" i="5"/>
  <c r="H125" i="5"/>
  <c r="F125" i="5"/>
  <c r="H124" i="5"/>
  <c r="F124" i="5"/>
  <c r="H123" i="5"/>
  <c r="F123" i="5"/>
  <c r="H122" i="5"/>
  <c r="F122" i="5"/>
  <c r="H121" i="5"/>
  <c r="F121" i="5"/>
  <c r="H120" i="5"/>
  <c r="F120" i="5"/>
  <c r="H119" i="5"/>
  <c r="F119" i="5"/>
  <c r="H118" i="5"/>
  <c r="F118" i="5"/>
  <c r="H117" i="5"/>
  <c r="F117" i="5"/>
  <c r="H116" i="5"/>
  <c r="F116" i="5"/>
  <c r="H115" i="5"/>
  <c r="F115" i="5"/>
  <c r="H114" i="5"/>
  <c r="F114" i="5"/>
  <c r="H113" i="5"/>
  <c r="F113" i="5"/>
  <c r="H112" i="5"/>
  <c r="F112" i="5"/>
  <c r="H111" i="5"/>
  <c r="F111" i="5"/>
  <c r="H110" i="5"/>
  <c r="F110" i="5"/>
  <c r="H109" i="5"/>
  <c r="F109" i="5"/>
  <c r="H108" i="5"/>
  <c r="F108" i="5"/>
  <c r="H107" i="5"/>
  <c r="F107" i="5"/>
  <c r="H106" i="5"/>
  <c r="F106" i="5"/>
  <c r="H105" i="5"/>
  <c r="F105" i="5"/>
  <c r="H104" i="5"/>
  <c r="F104" i="5"/>
  <c r="H103" i="5"/>
  <c r="F103" i="5"/>
  <c r="H102" i="5"/>
  <c r="F102" i="5"/>
  <c r="H101" i="5"/>
  <c r="F101" i="5"/>
  <c r="H100" i="5"/>
  <c r="F100" i="5"/>
  <c r="H99" i="5"/>
  <c r="F99" i="5"/>
  <c r="H98" i="5"/>
  <c r="F98" i="5"/>
  <c r="H97" i="5"/>
  <c r="F97" i="5"/>
  <c r="H96" i="5"/>
  <c r="F96" i="5"/>
  <c r="H95" i="5"/>
  <c r="F95" i="5"/>
  <c r="H94" i="5"/>
  <c r="F94" i="5"/>
  <c r="H93" i="5"/>
  <c r="F93" i="5"/>
  <c r="H92" i="5"/>
  <c r="F92" i="5"/>
  <c r="H91" i="5"/>
  <c r="F91" i="5"/>
  <c r="H90" i="5"/>
  <c r="F90" i="5"/>
  <c r="H89" i="5"/>
  <c r="F89" i="5"/>
  <c r="H88" i="5"/>
  <c r="F88" i="5"/>
  <c r="H87" i="5"/>
  <c r="F87" i="5"/>
  <c r="H86" i="5"/>
  <c r="F86" i="5"/>
  <c r="H85" i="5"/>
  <c r="F85" i="5"/>
  <c r="H84" i="5"/>
  <c r="F84" i="5"/>
  <c r="H83" i="5"/>
  <c r="F83" i="5"/>
  <c r="H82" i="5"/>
  <c r="F82" i="5"/>
  <c r="H81" i="5"/>
  <c r="F81" i="5"/>
  <c r="H80" i="5"/>
  <c r="F80" i="5"/>
  <c r="H79" i="5"/>
  <c r="F79" i="5"/>
  <c r="H78" i="5"/>
  <c r="F78" i="5"/>
  <c r="H77" i="5"/>
  <c r="F77" i="5"/>
  <c r="H76" i="5"/>
  <c r="F76" i="5"/>
  <c r="H75" i="5"/>
  <c r="F75" i="5"/>
  <c r="H74" i="5"/>
  <c r="F74" i="5"/>
  <c r="H73" i="5"/>
  <c r="F73" i="5"/>
  <c r="H72" i="5"/>
  <c r="F72" i="5"/>
  <c r="H71" i="5"/>
  <c r="F71" i="5"/>
  <c r="H70" i="5"/>
  <c r="F70" i="5"/>
  <c r="H69" i="5"/>
  <c r="F69" i="5"/>
  <c r="H68" i="5"/>
  <c r="F68" i="5"/>
  <c r="H67" i="5"/>
  <c r="F67" i="5"/>
  <c r="H66" i="5"/>
  <c r="F66" i="5"/>
  <c r="H65" i="5"/>
  <c r="F65" i="5"/>
  <c r="H64" i="5"/>
  <c r="F64" i="5"/>
  <c r="H63" i="5"/>
  <c r="F63" i="5"/>
  <c r="H62" i="5"/>
  <c r="F62" i="5"/>
  <c r="H61" i="5"/>
  <c r="F61" i="5"/>
  <c r="H60" i="5"/>
  <c r="F60" i="5"/>
  <c r="H59" i="5"/>
  <c r="F59" i="5"/>
  <c r="H58" i="5"/>
  <c r="F58" i="5"/>
  <c r="H57" i="5"/>
  <c r="F57" i="5"/>
  <c r="H56" i="5"/>
  <c r="F56" i="5"/>
  <c r="H55" i="5"/>
  <c r="F55" i="5"/>
  <c r="H54" i="5"/>
  <c r="F54" i="5"/>
  <c r="H53" i="5"/>
  <c r="F53" i="5"/>
  <c r="H52" i="5"/>
  <c r="F52" i="5"/>
  <c r="H51" i="5"/>
  <c r="F51" i="5"/>
  <c r="H50" i="5"/>
  <c r="F50" i="5"/>
  <c r="H49" i="5"/>
  <c r="F49" i="5"/>
  <c r="H48" i="5"/>
  <c r="F48" i="5"/>
  <c r="H47" i="5"/>
  <c r="F47" i="5"/>
  <c r="H46" i="5"/>
  <c r="F46" i="5"/>
  <c r="H45" i="5"/>
  <c r="F45" i="5"/>
  <c r="H44" i="5"/>
  <c r="F44" i="5"/>
  <c r="H43" i="5"/>
  <c r="F43" i="5"/>
  <c r="H42" i="5"/>
  <c r="F42" i="5"/>
  <c r="H41" i="5"/>
  <c r="F41" i="5"/>
  <c r="H40" i="5"/>
  <c r="F40" i="5"/>
  <c r="H39" i="5"/>
  <c r="F39" i="5"/>
  <c r="H38" i="5"/>
  <c r="F38" i="5"/>
  <c r="H37" i="5"/>
  <c r="F37" i="5"/>
  <c r="H36" i="5"/>
  <c r="F36" i="5"/>
  <c r="H35" i="5"/>
  <c r="F35" i="5"/>
  <c r="H34" i="5"/>
  <c r="F34" i="5"/>
  <c r="H33" i="5"/>
  <c r="F33" i="5"/>
  <c r="H32" i="5"/>
  <c r="F32" i="5"/>
  <c r="H31" i="5"/>
  <c r="F31" i="5"/>
  <c r="H30" i="5"/>
  <c r="F30" i="5"/>
  <c r="H29" i="5"/>
  <c r="F29" i="5"/>
  <c r="H28" i="5"/>
  <c r="F28" i="5"/>
  <c r="H27" i="5"/>
  <c r="F27" i="5"/>
  <c r="H26" i="5"/>
  <c r="F26" i="5"/>
  <c r="H25" i="5"/>
  <c r="F25" i="5"/>
  <c r="H24" i="5"/>
  <c r="F24" i="5"/>
  <c r="H23" i="5"/>
  <c r="F23" i="5"/>
  <c r="H22" i="5"/>
  <c r="F22" i="5"/>
  <c r="H21" i="5"/>
  <c r="F21" i="5"/>
  <c r="H20" i="5"/>
  <c r="F20" i="5"/>
  <c r="H19" i="5"/>
  <c r="F19" i="5"/>
  <c r="H18" i="5"/>
  <c r="F18" i="5"/>
  <c r="H17" i="5"/>
  <c r="F17" i="5"/>
  <c r="H16" i="5"/>
  <c r="F16" i="5"/>
  <c r="H15" i="5"/>
  <c r="F15" i="5"/>
  <c r="H14" i="5"/>
  <c r="F14" i="5"/>
  <c r="H13" i="5"/>
  <c r="F13" i="5"/>
  <c r="H12" i="5"/>
  <c r="F12" i="5"/>
  <c r="H11" i="5"/>
  <c r="F11" i="5"/>
  <c r="H10" i="5"/>
  <c r="F10" i="5"/>
  <c r="H9" i="5"/>
  <c r="F9" i="5"/>
  <c r="H8" i="5"/>
  <c r="F8" i="5"/>
  <c r="H7" i="5"/>
  <c r="F7" i="5"/>
  <c r="H6" i="5"/>
  <c r="F6" i="5"/>
  <c r="H5" i="5"/>
  <c r="F5" i="5"/>
  <c r="H4" i="5"/>
  <c r="F4" i="5"/>
  <c r="H3" i="5"/>
  <c r="F3" i="5"/>
  <c r="H2" i="5"/>
  <c r="F2" i="5"/>
  <c r="C84" i="2"/>
  <c r="C83" i="2"/>
  <c r="C82" i="2"/>
  <c r="C81" i="2"/>
  <c r="C80" i="2"/>
  <c r="C79" i="2"/>
  <c r="C78" i="2"/>
  <c r="C77" i="2"/>
  <c r="C76" i="2"/>
  <c r="C75" i="2"/>
  <c r="C74" i="2"/>
  <c r="C73" i="2"/>
  <c r="C72" i="2"/>
  <c r="C71" i="2"/>
  <c r="C70" i="2"/>
  <c r="C69" i="2"/>
  <c r="C68" i="2"/>
  <c r="C67" i="2"/>
  <c r="C66" i="2"/>
  <c r="C65" i="2"/>
  <c r="C64" i="2"/>
  <c r="C63" i="2"/>
  <c r="C62" i="2"/>
  <c r="C61" i="2"/>
  <c r="C60" i="2"/>
  <c r="C59" i="2"/>
  <c r="AC54" i="2"/>
  <c r="AC53" i="2"/>
  <c r="AC52" i="2"/>
  <c r="AC51" i="2"/>
  <c r="AC50" i="2"/>
  <c r="AC49" i="2"/>
  <c r="AC48" i="2"/>
  <c r="AC47" i="2"/>
  <c r="AC46" i="2"/>
  <c r="AG36" i="2"/>
  <c r="AG28" i="2"/>
  <c r="AG20" i="2"/>
  <c r="BH18" i="2"/>
  <c r="BG18" i="2"/>
  <c r="S6" i="2"/>
  <c r="I9" i="1" s="1"/>
  <c r="T25" i="7"/>
  <c r="AC15" i="2" s="1"/>
  <c r="R25" i="7"/>
  <c r="AC19" i="2" s="1"/>
  <c r="P25" i="7"/>
  <c r="AC18" i="2" s="1"/>
  <c r="AU18" i="2" s="1"/>
  <c r="T23" i="7"/>
  <c r="AC23" i="2" s="1"/>
  <c r="R23" i="7"/>
  <c r="AC27" i="2" s="1"/>
  <c r="P23" i="7"/>
  <c r="AC26" i="2" s="1"/>
  <c r="T21" i="7"/>
  <c r="AC31" i="2" s="1"/>
  <c r="R21" i="7"/>
  <c r="AC35" i="2" s="1"/>
  <c r="AU35" i="2" s="1"/>
  <c r="P21" i="7"/>
  <c r="D21" i="7" s="1"/>
  <c r="T19" i="7"/>
  <c r="AC39" i="2" s="1"/>
  <c r="R19" i="7"/>
  <c r="AC43" i="2" s="1"/>
  <c r="AU43" i="2" s="1"/>
  <c r="P19" i="7"/>
  <c r="AC42" i="2" s="1"/>
  <c r="AU42" i="2" s="1"/>
  <c r="U17" i="7"/>
  <c r="S17" i="7"/>
  <c r="O17" i="7"/>
  <c r="D17" i="7"/>
  <c r="U15" i="7"/>
  <c r="S15" i="7"/>
  <c r="O15" i="7"/>
  <c r="D15" i="7"/>
  <c r="H9" i="7"/>
  <c r="I30" i="1"/>
  <c r="M26" i="1"/>
  <c r="U25" i="1"/>
  <c r="AN14" i="2" s="1"/>
  <c r="Q25" i="1"/>
  <c r="O25" i="1"/>
  <c r="M25" i="1"/>
  <c r="U23" i="1"/>
  <c r="AN22" i="2" s="1"/>
  <c r="Q23" i="1"/>
  <c r="O23" i="1"/>
  <c r="M23" i="1"/>
  <c r="U21" i="1"/>
  <c r="AE30" i="2" s="1"/>
  <c r="AE35" i="2" s="1"/>
  <c r="Q21" i="1"/>
  <c r="O21" i="1"/>
  <c r="M21" i="1"/>
  <c r="U19" i="1"/>
  <c r="AN38" i="2" s="1"/>
  <c r="Q19" i="1"/>
  <c r="O19" i="1"/>
  <c r="M19" i="1"/>
  <c r="M18" i="1"/>
  <c r="T17" i="1"/>
  <c r="R17" i="1"/>
  <c r="P17" i="1"/>
  <c r="N17" i="1"/>
  <c r="D17" i="1"/>
  <c r="T15" i="1"/>
  <c r="R15" i="1"/>
  <c r="P15" i="1"/>
  <c r="N15" i="1"/>
  <c r="D15" i="1"/>
  <c r="B10" i="1"/>
  <c r="I8" i="1"/>
  <c r="L11" i="6" s="1"/>
  <c r="J7" i="7" s="1"/>
  <c r="I7" i="1"/>
  <c r="AP11" i="2" s="1"/>
  <c r="I6" i="1"/>
  <c r="G6" i="20"/>
  <c r="AG3" i="20"/>
  <c r="G6" i="8"/>
  <c r="AG3" i="8"/>
  <c r="G6" i="6"/>
  <c r="AG3" i="6"/>
  <c r="AG3" i="19"/>
  <c r="AG3" i="17"/>
  <c r="AG3" i="12"/>
  <c r="X24" i="2" l="1"/>
  <c r="W24" i="2"/>
  <c r="V24" i="2"/>
  <c r="U24" i="2"/>
  <c r="T24" i="2"/>
  <c r="X32" i="2"/>
  <c r="T32" i="2"/>
  <c r="W32" i="2"/>
  <c r="V32" i="2"/>
  <c r="U32" i="2"/>
  <c r="X40" i="2"/>
  <c r="T40" i="2"/>
  <c r="W40" i="2"/>
  <c r="V40" i="2"/>
  <c r="U40" i="2"/>
  <c r="L42" i="2"/>
  <c r="V16" i="2"/>
  <c r="U16" i="2"/>
  <c r="X16" i="2"/>
  <c r="T16" i="2"/>
  <c r="W16" i="2"/>
  <c r="AQ25" i="2"/>
  <c r="AQ24" i="2"/>
  <c r="BA43" i="2"/>
  <c r="AZ43" i="2"/>
  <c r="AY43" i="2"/>
  <c r="BB43" i="2"/>
  <c r="AX43" i="2"/>
  <c r="AQ17" i="2"/>
  <c r="AQ16" i="2"/>
  <c r="AQ40" i="2"/>
  <c r="AQ41" i="2"/>
  <c r="AK38" i="2"/>
  <c r="AK40" i="2"/>
  <c r="AK41" i="2"/>
  <c r="E122" i="2" s="1"/>
  <c r="E27" i="23" s="1"/>
  <c r="AK43" i="2"/>
  <c r="AK26" i="2"/>
  <c r="E109" i="2" s="1"/>
  <c r="E14" i="23" s="1"/>
  <c r="AK21" i="2"/>
  <c r="AK23" i="2"/>
  <c r="AK29" i="2"/>
  <c r="AK31" i="2"/>
  <c r="AK34" i="2"/>
  <c r="E116" i="2" s="1"/>
  <c r="E21" i="23" s="1"/>
  <c r="AK33" i="2"/>
  <c r="AH33" i="2"/>
  <c r="AK32" i="2"/>
  <c r="AH32" i="2"/>
  <c r="AK35" i="2"/>
  <c r="E117" i="2" s="1"/>
  <c r="E22" i="23" s="1"/>
  <c r="AH35" i="2"/>
  <c r="AK30" i="2"/>
  <c r="AH30" i="2"/>
  <c r="AK15" i="2"/>
  <c r="AK42" i="2"/>
  <c r="AK37" i="2"/>
  <c r="AK39" i="2"/>
  <c r="AK27" i="2"/>
  <c r="E110" i="2" s="1"/>
  <c r="E15" i="23" s="1"/>
  <c r="AK22" i="2"/>
  <c r="AK25" i="2"/>
  <c r="AK24" i="2"/>
  <c r="AK16" i="2"/>
  <c r="E100" i="2" s="1"/>
  <c r="E5" i="23" s="1"/>
  <c r="AK14" i="2"/>
  <c r="AK17" i="2"/>
  <c r="AK19" i="2"/>
  <c r="AE22" i="2"/>
  <c r="AE27" i="2" s="1"/>
  <c r="AV27" i="2" s="1"/>
  <c r="AD30" i="2"/>
  <c r="AD32" i="2" s="1"/>
  <c r="AS25" i="2"/>
  <c r="AS24" i="2"/>
  <c r="AO25" i="2"/>
  <c r="AO26" i="2"/>
  <c r="AO24" i="2"/>
  <c r="AT25" i="2"/>
  <c r="AT24" i="2"/>
  <c r="AO23" i="2"/>
  <c r="AU27" i="2"/>
  <c r="L14" i="2"/>
  <c r="K17" i="2"/>
  <c r="L34" i="2"/>
  <c r="AD38" i="2"/>
  <c r="AD41" i="2" s="1"/>
  <c r="Y41" i="2"/>
  <c r="J32" i="1"/>
  <c r="I15" i="2"/>
  <c r="N18" i="2"/>
  <c r="AD22" i="2"/>
  <c r="K24" i="2"/>
  <c r="I25" i="2"/>
  <c r="K31" i="2"/>
  <c r="AE38" i="2"/>
  <c r="AE43" i="2" s="1"/>
  <c r="AG43" i="2" s="1"/>
  <c r="AH43" i="2" s="1"/>
  <c r="J41" i="2"/>
  <c r="J16" i="2"/>
  <c r="K23" i="2"/>
  <c r="AD24" i="2"/>
  <c r="M25" i="2"/>
  <c r="O31" i="2"/>
  <c r="M39" i="2"/>
  <c r="N41" i="2"/>
  <c r="H9" i="8"/>
  <c r="E96" i="2"/>
  <c r="AE20" i="6" s="1"/>
  <c r="D96" i="2"/>
  <c r="T20" i="6" s="1"/>
  <c r="C96" i="2"/>
  <c r="I20" i="6" s="1"/>
  <c r="B96" i="2"/>
  <c r="B20" i="6" s="1"/>
  <c r="X25" i="2"/>
  <c r="AK18" i="2"/>
  <c r="N16" i="2"/>
  <c r="O23" i="2"/>
  <c r="AD25" i="2"/>
  <c r="M33" i="2"/>
  <c r="N38" i="2"/>
  <c r="J40" i="2"/>
  <c r="AC5" i="8"/>
  <c r="B13" i="19"/>
  <c r="O17" i="17"/>
  <c r="B32" i="19"/>
  <c r="B16" i="8"/>
  <c r="S31" i="19"/>
  <c r="B15" i="8"/>
  <c r="AC5" i="17"/>
  <c r="S13" i="19"/>
  <c r="Z41" i="17"/>
  <c r="B20" i="19"/>
  <c r="B25" i="19"/>
  <c r="H10" i="6"/>
  <c r="H6" i="7" s="1"/>
  <c r="AC5" i="12"/>
  <c r="Z22" i="17"/>
  <c r="AC5" i="19"/>
  <c r="S16" i="19"/>
  <c r="B27" i="19"/>
  <c r="AD16" i="8"/>
  <c r="Z36" i="17"/>
  <c r="B10" i="19"/>
  <c r="B18" i="19"/>
  <c r="S27" i="19"/>
  <c r="B6" i="6"/>
  <c r="K241" i="5"/>
  <c r="A45" i="2"/>
  <c r="M15" i="2"/>
  <c r="O17" i="2"/>
  <c r="L32" i="2"/>
  <c r="N40" i="2"/>
  <c r="M42" i="2"/>
  <c r="N26" i="2"/>
  <c r="I33" i="2"/>
  <c r="I39" i="2"/>
  <c r="A38" i="2"/>
  <c r="K20" i="7"/>
  <c r="D25" i="7"/>
  <c r="J15" i="2"/>
  <c r="K16" i="2"/>
  <c r="L17" i="2"/>
  <c r="O18" i="2"/>
  <c r="H23" i="2"/>
  <c r="P23" i="2"/>
  <c r="J25" i="2"/>
  <c r="H31" i="2"/>
  <c r="P31" i="2"/>
  <c r="J33" i="2"/>
  <c r="M34" i="2"/>
  <c r="N39" i="2"/>
  <c r="L11" i="8"/>
  <c r="Y33" i="2"/>
  <c r="X17" i="2"/>
  <c r="N14" i="2"/>
  <c r="K15" i="2"/>
  <c r="O15" i="2"/>
  <c r="L16" i="2"/>
  <c r="I17" i="2"/>
  <c r="M17" i="2"/>
  <c r="L18" i="2"/>
  <c r="M22" i="2"/>
  <c r="I23" i="2"/>
  <c r="M23" i="2"/>
  <c r="M24" i="2"/>
  <c r="K25" i="2"/>
  <c r="O25" i="2"/>
  <c r="L26" i="2"/>
  <c r="M30" i="2"/>
  <c r="I31" i="2"/>
  <c r="M31" i="2"/>
  <c r="J32" i="2"/>
  <c r="N32" i="2"/>
  <c r="K33" i="2"/>
  <c r="O33" i="2"/>
  <c r="N34" i="2"/>
  <c r="L38" i="2"/>
  <c r="K39" i="2"/>
  <c r="O39" i="2"/>
  <c r="L40" i="2"/>
  <c r="H41" i="2"/>
  <c r="L41" i="2"/>
  <c r="P41" i="2"/>
  <c r="O42" i="2"/>
  <c r="L11" i="20"/>
  <c r="M14" i="2"/>
  <c r="N15" i="2"/>
  <c r="H17" i="2"/>
  <c r="P17" i="2"/>
  <c r="L22" i="2"/>
  <c r="L23" i="2"/>
  <c r="L24" i="2"/>
  <c r="N25" i="2"/>
  <c r="O26" i="2"/>
  <c r="L30" i="2"/>
  <c r="L31" i="2"/>
  <c r="M32" i="2"/>
  <c r="N33" i="2"/>
  <c r="J39" i="2"/>
  <c r="K40" i="2"/>
  <c r="K41" i="2"/>
  <c r="O41" i="2"/>
  <c r="N42" i="2"/>
  <c r="H15" i="2"/>
  <c r="L15" i="2"/>
  <c r="P15" i="2"/>
  <c r="M16" i="2"/>
  <c r="J17" i="2"/>
  <c r="N17" i="2"/>
  <c r="M18" i="2"/>
  <c r="N22" i="2"/>
  <c r="J23" i="2"/>
  <c r="N23" i="2"/>
  <c r="J24" i="2"/>
  <c r="N24" i="2"/>
  <c r="H25" i="2"/>
  <c r="L25" i="2"/>
  <c r="P25" i="2"/>
  <c r="M26" i="2"/>
  <c r="N30" i="2"/>
  <c r="J31" i="2"/>
  <c r="N31" i="2"/>
  <c r="K32" i="2"/>
  <c r="H33" i="2"/>
  <c r="L33" i="2"/>
  <c r="P33" i="2"/>
  <c r="O34" i="2"/>
  <c r="M38" i="2"/>
  <c r="H39" i="2"/>
  <c r="L39" i="2"/>
  <c r="P39" i="2"/>
  <c r="M40" i="2"/>
  <c r="I41" i="2"/>
  <c r="M41" i="2"/>
  <c r="AQ11" i="2"/>
  <c r="AR41" i="2" s="1"/>
  <c r="L9" i="20"/>
  <c r="L9" i="6"/>
  <c r="J5" i="7" s="1"/>
  <c r="L9" i="8"/>
  <c r="AD29" i="2"/>
  <c r="BC34" i="2" s="1"/>
  <c r="U31" i="2"/>
  <c r="X33" i="2"/>
  <c r="X31" i="2"/>
  <c r="S33" i="2"/>
  <c r="T31" i="2"/>
  <c r="W33" i="2"/>
  <c r="N21" i="7"/>
  <c r="AO30" i="2" s="1"/>
  <c r="AE29" i="2"/>
  <c r="AE34" i="2" s="1"/>
  <c r="AV34" i="2" s="1"/>
  <c r="Y31" i="2"/>
  <c r="T33" i="2"/>
  <c r="AN30" i="2"/>
  <c r="BA35" i="2"/>
  <c r="AY35" i="2"/>
  <c r="BB35" i="2"/>
  <c r="AZ35" i="2"/>
  <c r="AX35" i="2"/>
  <c r="U39" i="2"/>
  <c r="Z39" i="2"/>
  <c r="R41" i="2"/>
  <c r="W41" i="2"/>
  <c r="V39" i="2"/>
  <c r="S41" i="2"/>
  <c r="X41" i="2"/>
  <c r="R39" i="2"/>
  <c r="X39" i="2"/>
  <c r="T41" i="2"/>
  <c r="Z41" i="2"/>
  <c r="AE37" i="2"/>
  <c r="AE42" i="2" s="1"/>
  <c r="T39" i="2"/>
  <c r="Y39" i="2"/>
  <c r="V41" i="2"/>
  <c r="D19" i="7"/>
  <c r="N21" i="1"/>
  <c r="J34" i="1"/>
  <c r="J33" i="1"/>
  <c r="D25" i="1"/>
  <c r="AO42" i="2"/>
  <c r="AT40" i="2"/>
  <c r="AT41" i="2"/>
  <c r="AL38" i="2"/>
  <c r="S39" i="2"/>
  <c r="W39" i="2"/>
  <c r="U41" i="2"/>
  <c r="N19" i="7"/>
  <c r="AO38" i="2" s="1"/>
  <c r="D19" i="1"/>
  <c r="AD37" i="2"/>
  <c r="AG35" i="2"/>
  <c r="AV35" i="2"/>
  <c r="AW35" i="2" s="1"/>
  <c r="AC34" i="2"/>
  <c r="AU34" i="2" s="1"/>
  <c r="V31" i="2"/>
  <c r="U33" i="2"/>
  <c r="AL30" i="2"/>
  <c r="AQ30" i="2" s="1"/>
  <c r="S31" i="2"/>
  <c r="W31" i="2"/>
  <c r="R33" i="2"/>
  <c r="V33" i="2"/>
  <c r="Z33" i="2"/>
  <c r="R31" i="2"/>
  <c r="Z31" i="2"/>
  <c r="D21" i="1"/>
  <c r="J31" i="1"/>
  <c r="AD17" i="2"/>
  <c r="AD14" i="2"/>
  <c r="AD16" i="2"/>
  <c r="AK13" i="2"/>
  <c r="H10" i="20"/>
  <c r="G7" i="1"/>
  <c r="B14" i="12" s="1"/>
  <c r="G235" i="5"/>
  <c r="B6" i="20"/>
  <c r="G207" i="5"/>
  <c r="K225" i="5"/>
  <c r="G233" i="5"/>
  <c r="G247" i="5"/>
  <c r="E8" i="2"/>
  <c r="K223" i="5"/>
  <c r="G9" i="1"/>
  <c r="B19" i="12" s="1"/>
  <c r="K217" i="5"/>
  <c r="B116" i="20"/>
  <c r="U12" i="1"/>
  <c r="G30" i="1"/>
  <c r="G211" i="5"/>
  <c r="K221" i="5"/>
  <c r="G231" i="5"/>
  <c r="K243" i="5"/>
  <c r="G245" i="5"/>
  <c r="G209" i="5"/>
  <c r="K219" i="5"/>
  <c r="G239" i="5"/>
  <c r="S23" i="19"/>
  <c r="B23" i="19"/>
  <c r="E9" i="2"/>
  <c r="B11" i="10"/>
  <c r="B13" i="17"/>
  <c r="Z26" i="17"/>
  <c r="Z43" i="17"/>
  <c r="S10" i="19"/>
  <c r="B14" i="19"/>
  <c r="B19" i="19"/>
  <c r="S25" i="19"/>
  <c r="B29" i="19"/>
  <c r="B33" i="19"/>
  <c r="H11" i="6"/>
  <c r="H7" i="7" s="1"/>
  <c r="B6" i="8"/>
  <c r="H10" i="8"/>
  <c r="O16" i="8"/>
  <c r="H9" i="20"/>
  <c r="B15" i="20"/>
  <c r="G6" i="1"/>
  <c r="Z14" i="12" s="1"/>
  <c r="M7" i="1"/>
  <c r="M12" i="1"/>
  <c r="H37" i="1"/>
  <c r="K37" i="19" s="1"/>
  <c r="N13" i="7"/>
  <c r="J29" i="7"/>
  <c r="C37" i="19" s="1"/>
  <c r="BC17" i="2"/>
  <c r="BC41" i="2"/>
  <c r="K208" i="5"/>
  <c r="K210" i="5"/>
  <c r="K212" i="5"/>
  <c r="G216" i="5"/>
  <c r="G218" i="5"/>
  <c r="G220" i="5"/>
  <c r="K222" i="5"/>
  <c r="K224" i="5"/>
  <c r="K226" i="5"/>
  <c r="G230" i="5"/>
  <c r="G232" i="5"/>
  <c r="G234" i="5"/>
  <c r="G236" i="5"/>
  <c r="K242" i="5"/>
  <c r="G246" i="5"/>
  <c r="G250" i="5"/>
  <c r="B37" i="8"/>
  <c r="J27" i="7"/>
  <c r="F11" i="10"/>
  <c r="AC48" i="12"/>
  <c r="Z13" i="17"/>
  <c r="Z28" i="17"/>
  <c r="B12" i="19"/>
  <c r="B16" i="19"/>
  <c r="S19" i="19"/>
  <c r="B26" i="19"/>
  <c r="B31" i="19"/>
  <c r="S33" i="19"/>
  <c r="H8" i="6"/>
  <c r="H4" i="7" s="1"/>
  <c r="B50" i="6"/>
  <c r="X16" i="8"/>
  <c r="AC5" i="20"/>
  <c r="B54" i="20"/>
  <c r="Q12" i="1"/>
  <c r="R13" i="7"/>
  <c r="BC25" i="2"/>
  <c r="AD13" i="2"/>
  <c r="BC18" i="2" s="1"/>
  <c r="AD15" i="2"/>
  <c r="R15" i="2"/>
  <c r="V15" i="2"/>
  <c r="Z15" i="2"/>
  <c r="U17" i="2"/>
  <c r="Y17" i="2"/>
  <c r="AL14" i="2"/>
  <c r="AQ14" i="2" s="1"/>
  <c r="S15" i="2"/>
  <c r="W15" i="2"/>
  <c r="R17" i="2"/>
  <c r="V17" i="2"/>
  <c r="Z17" i="2"/>
  <c r="N25" i="7"/>
  <c r="AO14" i="2" s="1"/>
  <c r="AE13" i="2"/>
  <c r="AE18" i="2" s="1"/>
  <c r="T15" i="2"/>
  <c r="X15" i="2"/>
  <c r="S17" i="2"/>
  <c r="W17" i="2"/>
  <c r="U15" i="2"/>
  <c r="Y15" i="2"/>
  <c r="T17" i="2"/>
  <c r="AO18" i="2"/>
  <c r="AS16" i="2"/>
  <c r="AO15" i="2"/>
  <c r="AT17" i="2"/>
  <c r="AO17" i="2"/>
  <c r="AS17" i="2"/>
  <c r="AT16" i="2"/>
  <c r="AO16" i="2"/>
  <c r="AE14" i="2"/>
  <c r="AE19" i="2" s="1"/>
  <c r="AV19" i="2" s="1"/>
  <c r="AU19" i="2"/>
  <c r="AD23" i="2"/>
  <c r="D23" i="1"/>
  <c r="AD21" i="2"/>
  <c r="BC26" i="2" s="1"/>
  <c r="AL22" i="2"/>
  <c r="AQ22" i="2" s="1"/>
  <c r="U23" i="2"/>
  <c r="Y23" i="2"/>
  <c r="U25" i="2"/>
  <c r="Y25" i="2"/>
  <c r="AE21" i="2"/>
  <c r="AE26" i="2" s="1"/>
  <c r="AV26" i="2" s="1"/>
  <c r="R23" i="2"/>
  <c r="V23" i="2"/>
  <c r="Z23" i="2"/>
  <c r="R25" i="2"/>
  <c r="V25" i="2"/>
  <c r="Z25" i="2"/>
  <c r="S23" i="2"/>
  <c r="W23" i="2"/>
  <c r="S25" i="2"/>
  <c r="W25" i="2"/>
  <c r="N23" i="7"/>
  <c r="AO22" i="2" s="1"/>
  <c r="T23" i="2"/>
  <c r="X23" i="2"/>
  <c r="T25" i="2"/>
  <c r="AU26" i="2"/>
  <c r="AG26" i="2"/>
  <c r="AH26" i="2" s="1"/>
  <c r="D23" i="7"/>
  <c r="Z33" i="17"/>
  <c r="Z38" i="17"/>
  <c r="J243" i="5"/>
  <c r="J242" i="5"/>
  <c r="J241" i="5"/>
  <c r="J226" i="5"/>
  <c r="J225" i="5"/>
  <c r="J224" i="5"/>
  <c r="J223" i="5"/>
  <c r="J222" i="5"/>
  <c r="J221" i="5"/>
  <c r="J220" i="5"/>
  <c r="J219" i="5"/>
  <c r="J218" i="5"/>
  <c r="J217" i="5"/>
  <c r="J216" i="5"/>
  <c r="AP8" i="2"/>
  <c r="T29" i="7"/>
  <c r="S37" i="19" s="1"/>
  <c r="G27" i="7"/>
  <c r="T13" i="7"/>
  <c r="G27" i="1"/>
  <c r="O12" i="1"/>
  <c r="M9" i="1"/>
  <c r="G8" i="1"/>
  <c r="M14" i="12" s="1"/>
  <c r="B96" i="20"/>
  <c r="H11" i="20"/>
  <c r="H8" i="20"/>
  <c r="H16" i="8"/>
  <c r="H11" i="8"/>
  <c r="H8" i="8"/>
  <c r="H9" i="6"/>
  <c r="H5" i="7" s="1"/>
  <c r="AC5" i="6"/>
  <c r="S32" i="19"/>
  <c r="S29" i="19"/>
  <c r="S26" i="19"/>
  <c r="S20" i="19"/>
  <c r="S18" i="19"/>
  <c r="S14" i="19"/>
  <c r="S12" i="19"/>
  <c r="B8" i="19"/>
  <c r="AC47" i="17"/>
  <c r="Z31" i="17"/>
  <c r="B22" i="17"/>
  <c r="B14" i="10"/>
  <c r="K250" i="5"/>
  <c r="K247" i="5"/>
  <c r="K246" i="5"/>
  <c r="K245" i="5"/>
  <c r="G243" i="5"/>
  <c r="G242" i="5"/>
  <c r="G241" i="5"/>
  <c r="K239" i="5"/>
  <c r="K236" i="5"/>
  <c r="K235" i="5"/>
  <c r="K234" i="5"/>
  <c r="K233" i="5"/>
  <c r="K232" i="5"/>
  <c r="K231" i="5"/>
  <c r="K230" i="5"/>
  <c r="G226" i="5"/>
  <c r="G225" i="5"/>
  <c r="G224" i="5"/>
  <c r="G223" i="5"/>
  <c r="G222" i="5"/>
  <c r="J250" i="5"/>
  <c r="J247" i="5"/>
  <c r="J246" i="5"/>
  <c r="J245" i="5"/>
  <c r="J239" i="5"/>
  <c r="J236" i="5"/>
  <c r="J235" i="5"/>
  <c r="J234" i="5"/>
  <c r="J233" i="5"/>
  <c r="J232" i="5"/>
  <c r="J231" i="5"/>
  <c r="J230" i="5"/>
  <c r="J212" i="5"/>
  <c r="J211" i="5"/>
  <c r="J210" i="5"/>
  <c r="J209" i="5"/>
  <c r="J208" i="5"/>
  <c r="J207" i="5"/>
  <c r="BC33" i="2"/>
  <c r="AP9" i="2"/>
  <c r="F7" i="2"/>
  <c r="T27" i="7"/>
  <c r="AA37" i="19" s="1"/>
  <c r="P13" i="7"/>
  <c r="G29" i="1"/>
  <c r="S12" i="1"/>
  <c r="G10" i="1"/>
  <c r="B36" i="12" s="1"/>
  <c r="M8" i="1"/>
  <c r="S27" i="1"/>
  <c r="K207" i="5"/>
  <c r="G210" i="5"/>
  <c r="K211" i="5"/>
  <c r="K216" i="5"/>
  <c r="G219" i="5"/>
  <c r="K220" i="5"/>
  <c r="G208" i="5"/>
  <c r="K209" i="5"/>
  <c r="G212" i="5"/>
  <c r="G217" i="5"/>
  <c r="K218" i="5"/>
  <c r="G221" i="5"/>
  <c r="A30" i="2"/>
  <c r="K18" i="7"/>
  <c r="AF41" i="2"/>
  <c r="AF31" i="2"/>
  <c r="AF40" i="2"/>
  <c r="AF33" i="2"/>
  <c r="H10" i="7"/>
  <c r="K22" i="7"/>
  <c r="A22" i="2"/>
  <c r="AL20" i="2" s="1"/>
  <c r="N23" i="1"/>
  <c r="H30" i="1"/>
  <c r="H32" i="1" s="1"/>
  <c r="K24" i="7"/>
  <c r="A14" i="2"/>
  <c r="AL12" i="2" s="1"/>
  <c r="AF17" i="2"/>
  <c r="AF21" i="2"/>
  <c r="AF32" i="2"/>
  <c r="AF14" i="2"/>
  <c r="AF15" i="2"/>
  <c r="AF16" i="2"/>
  <c r="AF30" i="2"/>
  <c r="AF37" i="2"/>
  <c r="AF38" i="2"/>
  <c r="B9" i="1"/>
  <c r="AF13" i="2"/>
  <c r="AF22" i="2"/>
  <c r="AF23" i="2"/>
  <c r="AF24" i="2"/>
  <c r="AF29" i="2"/>
  <c r="AF39" i="2"/>
  <c r="AF25" i="2"/>
  <c r="AO39" i="2"/>
  <c r="AO40" i="2"/>
  <c r="AS40" i="2"/>
  <c r="AO41" i="2"/>
  <c r="AS41" i="2"/>
  <c r="K19" i="1"/>
  <c r="L10" i="8" s="1"/>
  <c r="AT32" i="2" l="1"/>
  <c r="AQ33" i="2"/>
  <c r="AQ32" i="2"/>
  <c r="AM41" i="2"/>
  <c r="AQ38" i="2"/>
  <c r="AQ39" i="2"/>
  <c r="AQ31" i="2"/>
  <c r="BC36" i="2"/>
  <c r="AM34" i="2"/>
  <c r="AM32" i="2"/>
  <c r="AQ23" i="2"/>
  <c r="AM24" i="2"/>
  <c r="AM26" i="2"/>
  <c r="B30" i="2"/>
  <c r="AL28" i="2"/>
  <c r="B38" i="2"/>
  <c r="AL36" i="2"/>
  <c r="AM16" i="2"/>
  <c r="AM18" i="2"/>
  <c r="BJ18" i="2"/>
  <c r="C159" i="2"/>
  <c r="E139" i="2"/>
  <c r="E5" i="24" s="1"/>
  <c r="E138" i="2"/>
  <c r="E4" i="24" s="1"/>
  <c r="F160" i="2"/>
  <c r="F26" i="24" s="1"/>
  <c r="F152" i="2"/>
  <c r="F18" i="24" s="1"/>
  <c r="C146" i="2"/>
  <c r="F146" i="2"/>
  <c r="F12" i="24" s="1"/>
  <c r="C160" i="2"/>
  <c r="AV43" i="2"/>
  <c r="AW43" i="2" s="1"/>
  <c r="C139" i="2"/>
  <c r="F159" i="2"/>
  <c r="F25" i="24" s="1"/>
  <c r="E145" i="2"/>
  <c r="E11" i="24" s="1"/>
  <c r="E160" i="2"/>
  <c r="E26" i="24" s="1"/>
  <c r="E159" i="2"/>
  <c r="E25" i="24" s="1"/>
  <c r="F138" i="2"/>
  <c r="F4" i="24" s="1"/>
  <c r="F139" i="2"/>
  <c r="F5" i="24" s="1"/>
  <c r="D160" i="2"/>
  <c r="D26" i="24" s="1"/>
  <c r="E146" i="2"/>
  <c r="E12" i="24" s="1"/>
  <c r="B42" i="2"/>
  <c r="C42" i="2" s="1"/>
  <c r="D42" i="2" s="1"/>
  <c r="C138" i="2"/>
  <c r="F145" i="2"/>
  <c r="F11" i="24" s="1"/>
  <c r="C145" i="2"/>
  <c r="AG25" i="2"/>
  <c r="AH25" i="2" s="1"/>
  <c r="AJ25" i="2" s="1"/>
  <c r="AO32" i="2"/>
  <c r="AG24" i="2"/>
  <c r="AH24" i="2" s="1"/>
  <c r="AI24" i="2" s="1"/>
  <c r="C107" i="2" s="1"/>
  <c r="C12" i="23" s="1"/>
  <c r="BJ34" i="2"/>
  <c r="B117" i="2"/>
  <c r="A22" i="23" s="1"/>
  <c r="AS33" i="2"/>
  <c r="AO31" i="2"/>
  <c r="AD33" i="2"/>
  <c r="AG33" i="2" s="1"/>
  <c r="B115" i="2" s="1"/>
  <c r="A20" i="23" s="1"/>
  <c r="AT33" i="2"/>
  <c r="AJ30" i="2"/>
  <c r="AI30" i="2"/>
  <c r="AI32" i="2"/>
  <c r="AJ32" i="2"/>
  <c r="AI26" i="2"/>
  <c r="AJ26" i="2"/>
  <c r="AI43" i="2"/>
  <c r="AJ43" i="2"/>
  <c r="AG30" i="2"/>
  <c r="B112" i="2" s="1"/>
  <c r="A17" i="23" s="1"/>
  <c r="AG32" i="2"/>
  <c r="B114" i="2" s="1"/>
  <c r="A19" i="23" s="1"/>
  <c r="AI35" i="2"/>
  <c r="AJ35" i="2"/>
  <c r="AI33" i="2"/>
  <c r="AJ33" i="2"/>
  <c r="B109" i="2"/>
  <c r="A14" i="23" s="1"/>
  <c r="B41" i="2"/>
  <c r="C41" i="2" s="1"/>
  <c r="D41" i="2" s="1"/>
  <c r="BI34" i="2"/>
  <c r="AG27" i="2"/>
  <c r="AH27" i="2" s="1"/>
  <c r="AJ27" i="2" s="1"/>
  <c r="AG41" i="2"/>
  <c r="B39" i="2"/>
  <c r="C39" i="2" s="1"/>
  <c r="D39" i="2" s="1"/>
  <c r="F39" i="2" s="1"/>
  <c r="BC35" i="2"/>
  <c r="B40" i="2"/>
  <c r="C40" i="2" s="1"/>
  <c r="D40" i="2" s="1"/>
  <c r="AG16" i="2"/>
  <c r="AH16" i="2" s="1"/>
  <c r="B100" i="2" s="1"/>
  <c r="A5" i="23" s="1"/>
  <c r="AD40" i="2"/>
  <c r="AG40" i="2" s="1"/>
  <c r="AG22" i="2"/>
  <c r="AH22" i="2" s="1"/>
  <c r="AJ22" i="2" s="1"/>
  <c r="BE34" i="2"/>
  <c r="BE35" i="2" s="1"/>
  <c r="E106" i="2"/>
  <c r="E11" i="23" s="1"/>
  <c r="E97" i="2"/>
  <c r="E2" i="23" s="1"/>
  <c r="E113" i="2"/>
  <c r="E18" i="23" s="1"/>
  <c r="E120" i="2"/>
  <c r="E25" i="23" s="1"/>
  <c r="E119" i="2"/>
  <c r="E24" i="23" s="1"/>
  <c r="E105" i="2"/>
  <c r="E10" i="23" s="1"/>
  <c r="B124" i="2"/>
  <c r="A29" i="23" s="1"/>
  <c r="E98" i="2"/>
  <c r="E3" i="23" s="1"/>
  <c r="E111" i="2"/>
  <c r="E16" i="23" s="1"/>
  <c r="E114" i="2"/>
  <c r="E19" i="23" s="1"/>
  <c r="E124" i="2"/>
  <c r="E29" i="23" s="1"/>
  <c r="E115" i="2"/>
  <c r="E20" i="23" s="1"/>
  <c r="E102" i="2"/>
  <c r="E7" i="23" s="1"/>
  <c r="E121" i="2"/>
  <c r="E26" i="23" s="1"/>
  <c r="E103" i="2"/>
  <c r="E8" i="23" s="1"/>
  <c r="E123" i="2"/>
  <c r="E28" i="23" s="1"/>
  <c r="E118" i="2"/>
  <c r="E23" i="23" s="1"/>
  <c r="E112" i="2"/>
  <c r="E17" i="23" s="1"/>
  <c r="AG38" i="2"/>
  <c r="AH38" i="2" s="1"/>
  <c r="AI38" i="2" s="1"/>
  <c r="E104" i="2"/>
  <c r="E9" i="23" s="1"/>
  <c r="E99" i="2"/>
  <c r="E4" i="23" s="1"/>
  <c r="E101" i="2"/>
  <c r="E6" i="23" s="1"/>
  <c r="AG34" i="2"/>
  <c r="AH34" i="2" s="1"/>
  <c r="AJ34" i="2" s="1"/>
  <c r="E108" i="2"/>
  <c r="E13" i="23" s="1"/>
  <c r="E107" i="2"/>
  <c r="E12" i="23" s="1"/>
  <c r="BA27" i="2"/>
  <c r="AZ27" i="2"/>
  <c r="AW27" i="2"/>
  <c r="AX27" i="2" s="1"/>
  <c r="AR30" i="2"/>
  <c r="AR16" i="2"/>
  <c r="AR25" i="2"/>
  <c r="AR39" i="2"/>
  <c r="AR40" i="2"/>
  <c r="AR31" i="2"/>
  <c r="AR33" i="2"/>
  <c r="AM17" i="2"/>
  <c r="AM15" i="2"/>
  <c r="AR15" i="2"/>
  <c r="AR32" i="2"/>
  <c r="AR17" i="2"/>
  <c r="AR23" i="2"/>
  <c r="AR24" i="2"/>
  <c r="AR38" i="2"/>
  <c r="AD31" i="2"/>
  <c r="AG31" i="2" s="1"/>
  <c r="BH35" i="2"/>
  <c r="BD34" i="2"/>
  <c r="BD35" i="2"/>
  <c r="BF34" i="2"/>
  <c r="BF35" i="2" s="1"/>
  <c r="BG35" i="2"/>
  <c r="AT38" i="2"/>
  <c r="AT39" i="2"/>
  <c r="AS39" i="2"/>
  <c r="AM39" i="2"/>
  <c r="AG13" i="2"/>
  <c r="D14" i="1"/>
  <c r="AG14" i="2"/>
  <c r="AH14" i="2" s="1"/>
  <c r="BH27" i="2"/>
  <c r="BC28" i="2"/>
  <c r="AG29" i="2"/>
  <c r="AH29" i="2" s="1"/>
  <c r="AI29" i="2" s="1"/>
  <c r="AO34" i="2"/>
  <c r="AS32" i="2"/>
  <c r="AO33" i="2"/>
  <c r="AG37" i="2"/>
  <c r="AH37" i="2" s="1"/>
  <c r="AJ37" i="2" s="1"/>
  <c r="AS38" i="2"/>
  <c r="D14" i="7"/>
  <c r="I15" i="7" s="1"/>
  <c r="BC19" i="2"/>
  <c r="BC20" i="2"/>
  <c r="BC42" i="2"/>
  <c r="AD39" i="2"/>
  <c r="AG39" i="2" s="1"/>
  <c r="AW34" i="2"/>
  <c r="BB34" i="2" s="1"/>
  <c r="AM31" i="2"/>
  <c r="AT30" i="2"/>
  <c r="AS30" i="2"/>
  <c r="AM33" i="2"/>
  <c r="AT31" i="2"/>
  <c r="AS31" i="2"/>
  <c r="AG23" i="2"/>
  <c r="AH23" i="2" s="1"/>
  <c r="AG17" i="2"/>
  <c r="AH17" i="2" s="1"/>
  <c r="BI18" i="2"/>
  <c r="AG15" i="2"/>
  <c r="AH15" i="2" s="1"/>
  <c r="BF18" i="2"/>
  <c r="BF19" i="2" s="1"/>
  <c r="BG19" i="2"/>
  <c r="BE18" i="2"/>
  <c r="BE19" i="2" s="1"/>
  <c r="BD18" i="2"/>
  <c r="BD19" i="2" s="1"/>
  <c r="BH19" i="2"/>
  <c r="AT15" i="2"/>
  <c r="AS15" i="2"/>
  <c r="AT14" i="2"/>
  <c r="AS14" i="2"/>
  <c r="AQ15" i="2"/>
  <c r="AR14" i="2"/>
  <c r="AV18" i="2"/>
  <c r="AW18" i="2" s="1"/>
  <c r="AG18" i="2"/>
  <c r="AG19" i="2"/>
  <c r="AH19" i="2" s="1"/>
  <c r="AJ19" i="2" s="1"/>
  <c r="AW19" i="2"/>
  <c r="BA19" i="2" s="1"/>
  <c r="BI26" i="2"/>
  <c r="BJ26" i="2"/>
  <c r="BG27" i="2"/>
  <c r="BE26" i="2"/>
  <c r="BE27" i="2" s="1"/>
  <c r="BF26" i="2"/>
  <c r="BF27" i="2" s="1"/>
  <c r="BD26" i="2"/>
  <c r="BD27" i="2"/>
  <c r="BC27" i="2"/>
  <c r="AG21" i="2"/>
  <c r="AH21" i="2" s="1"/>
  <c r="AT22" i="2"/>
  <c r="AS22" i="2"/>
  <c r="AM25" i="2"/>
  <c r="AT23" i="2"/>
  <c r="AR22" i="2"/>
  <c r="AS23" i="2"/>
  <c r="AM23" i="2"/>
  <c r="AW26" i="2"/>
  <c r="AY26" i="2" s="1"/>
  <c r="AP41" i="2"/>
  <c r="AP39" i="2"/>
  <c r="AP25" i="2"/>
  <c r="B146" i="2" s="1"/>
  <c r="B12" i="24" s="1"/>
  <c r="AP31" i="2"/>
  <c r="AP17" i="2"/>
  <c r="AP23" i="2"/>
  <c r="AP15" i="2"/>
  <c r="AP33" i="2"/>
  <c r="B153" i="2" s="1"/>
  <c r="B19" i="24" s="1"/>
  <c r="B6" i="17"/>
  <c r="B6" i="19"/>
  <c r="B6" i="12"/>
  <c r="AP24" i="2"/>
  <c r="B145" i="2" s="1"/>
  <c r="B11" i="24" s="1"/>
  <c r="AP40" i="2"/>
  <c r="AP38" i="2"/>
  <c r="AP32" i="2"/>
  <c r="B152" i="2" s="1"/>
  <c r="B18" i="24" s="1"/>
  <c r="AP22" i="2"/>
  <c r="AP14" i="2"/>
  <c r="AP30" i="2"/>
  <c r="AP16" i="2"/>
  <c r="B33" i="2"/>
  <c r="C33" i="2" s="1"/>
  <c r="D33" i="2" s="1"/>
  <c r="F33" i="2" s="1"/>
  <c r="B34" i="2"/>
  <c r="C34" i="2" s="1"/>
  <c r="D34" i="2" s="1"/>
  <c r="F34" i="2" s="1"/>
  <c r="B31" i="2"/>
  <c r="B32" i="2"/>
  <c r="C32" i="2" s="1"/>
  <c r="D32" i="2" s="1"/>
  <c r="I33" i="1"/>
  <c r="H34" i="1"/>
  <c r="B10" i="20" s="1"/>
  <c r="H33" i="1"/>
  <c r="B12" i="20" s="1"/>
  <c r="I34" i="1"/>
  <c r="B22" i="2"/>
  <c r="B26" i="2"/>
  <c r="C26" i="2" s="1"/>
  <c r="D26" i="2" s="1"/>
  <c r="F26" i="2" s="1"/>
  <c r="B25" i="2"/>
  <c r="C25" i="2" s="1"/>
  <c r="D25" i="2" s="1"/>
  <c r="F25" i="2" s="1"/>
  <c r="B24" i="2"/>
  <c r="C24" i="2" s="1"/>
  <c r="D24" i="2" s="1"/>
  <c r="F24" i="2" s="1"/>
  <c r="B23" i="2"/>
  <c r="C23" i="2" s="1"/>
  <c r="D23" i="2" s="1"/>
  <c r="F23" i="2" s="1"/>
  <c r="I32" i="1"/>
  <c r="I31" i="1"/>
  <c r="B15" i="2"/>
  <c r="C15" i="2" s="1"/>
  <c r="D15" i="2" s="1"/>
  <c r="F15" i="2" s="1"/>
  <c r="B18" i="2"/>
  <c r="C18" i="2" s="1"/>
  <c r="D18" i="2" s="1"/>
  <c r="F18" i="2" s="1"/>
  <c r="B16" i="2"/>
  <c r="C16" i="2" s="1"/>
  <c r="D16" i="2" s="1"/>
  <c r="F16" i="2" s="1"/>
  <c r="B17" i="2"/>
  <c r="C17" i="2" s="1"/>
  <c r="D17" i="2" s="1"/>
  <c r="F17" i="2" s="1"/>
  <c r="B14" i="2"/>
  <c r="H31" i="1"/>
  <c r="B16" i="6" s="1"/>
  <c r="L10" i="6"/>
  <c r="J6" i="7" s="1"/>
  <c r="L10" i="20"/>
  <c r="AV42" i="2"/>
  <c r="AW42" i="2" s="1"/>
  <c r="AG42" i="2"/>
  <c r="AH42" i="2" s="1"/>
  <c r="AI42" i="2" s="1"/>
  <c r="B14" i="6"/>
  <c r="B14" i="20"/>
  <c r="B14" i="8"/>
  <c r="B107" i="2" l="1"/>
  <c r="A12" i="23" s="1"/>
  <c r="AJ24" i="2"/>
  <c r="D107" i="2" s="1"/>
  <c r="D12" i="23" s="1"/>
  <c r="BB27" i="2"/>
  <c r="AY27" i="2"/>
  <c r="B110" i="2"/>
  <c r="A15" i="23" s="1"/>
  <c r="AI27" i="2"/>
  <c r="C110" i="2" s="1"/>
  <c r="C15" i="23" s="1"/>
  <c r="AI22" i="2"/>
  <c r="C105" i="2" s="1"/>
  <c r="C10" i="23" s="1"/>
  <c r="B108" i="2"/>
  <c r="A13" i="23" s="1"/>
  <c r="AI25" i="2"/>
  <c r="C108" i="2" s="1"/>
  <c r="C13" i="23" s="1"/>
  <c r="B105" i="2"/>
  <c r="A10" i="23" s="1"/>
  <c r="C38" i="2"/>
  <c r="D38" i="2" s="1"/>
  <c r="E38" i="2" s="1"/>
  <c r="F43" i="2"/>
  <c r="F19" i="2"/>
  <c r="G32" i="2"/>
  <c r="F32" i="2"/>
  <c r="G41" i="2"/>
  <c r="G43" i="2" s="1"/>
  <c r="F41" i="2"/>
  <c r="G42" i="2"/>
  <c r="F42" i="2"/>
  <c r="F27" i="2"/>
  <c r="C30" i="2"/>
  <c r="D30" i="2" s="1"/>
  <c r="F35" i="2"/>
  <c r="G40" i="2"/>
  <c r="F40" i="2"/>
  <c r="C11" i="24"/>
  <c r="A145" i="2"/>
  <c r="A11" i="24" s="1"/>
  <c r="C12" i="24"/>
  <c r="A146" i="2"/>
  <c r="A12" i="24" s="1"/>
  <c r="AM42" i="2"/>
  <c r="AM40" i="2"/>
  <c r="C4" i="24"/>
  <c r="A138" i="2"/>
  <c r="A4" i="24" s="1"/>
  <c r="C5" i="24"/>
  <c r="A139" i="2"/>
  <c r="A5" i="24" s="1"/>
  <c r="C26" i="24"/>
  <c r="A160" i="2"/>
  <c r="A26" i="24" s="1"/>
  <c r="C25" i="24"/>
  <c r="A159" i="2"/>
  <c r="A25" i="24" s="1"/>
  <c r="BA34" i="2"/>
  <c r="E42" i="2"/>
  <c r="C151" i="2"/>
  <c r="C158" i="2"/>
  <c r="F157" i="2"/>
  <c r="F23" i="24" s="1"/>
  <c r="D145" i="2"/>
  <c r="D11" i="24" s="1"/>
  <c r="D159" i="2"/>
  <c r="D25" i="24" s="1"/>
  <c r="D150" i="2"/>
  <c r="D16" i="24" s="1"/>
  <c r="C152" i="2"/>
  <c r="E153" i="2"/>
  <c r="E19" i="24" s="1"/>
  <c r="B136" i="2"/>
  <c r="B2" i="24" s="1"/>
  <c r="B159" i="2"/>
  <c r="B25" i="24" s="1"/>
  <c r="B139" i="2"/>
  <c r="B5" i="24" s="1"/>
  <c r="E143" i="2"/>
  <c r="E9" i="24" s="1"/>
  <c r="E151" i="2"/>
  <c r="E17" i="24" s="1"/>
  <c r="E150" i="2"/>
  <c r="E16" i="24" s="1"/>
  <c r="F153" i="2"/>
  <c r="F19" i="24" s="1"/>
  <c r="C157" i="2"/>
  <c r="B143" i="2"/>
  <c r="B9" i="24" s="1"/>
  <c r="B151" i="2"/>
  <c r="B17" i="24" s="1"/>
  <c r="C137" i="2"/>
  <c r="C136" i="2"/>
  <c r="C150" i="2"/>
  <c r="F150" i="2"/>
  <c r="F16" i="24" s="1"/>
  <c r="J43" i="2"/>
  <c r="H47" i="2" s="1"/>
  <c r="N43" i="2"/>
  <c r="H51" i="2" s="1"/>
  <c r="E157" i="2"/>
  <c r="E23" i="24" s="1"/>
  <c r="E158" i="2"/>
  <c r="E24" i="24" s="1"/>
  <c r="D139" i="2"/>
  <c r="D5" i="24" s="1"/>
  <c r="D137" i="2"/>
  <c r="D3" i="24" s="1"/>
  <c r="D153" i="2"/>
  <c r="D19" i="24" s="1"/>
  <c r="D146" i="2"/>
  <c r="D12" i="24" s="1"/>
  <c r="C153" i="2"/>
  <c r="B150" i="2"/>
  <c r="B16" i="24" s="1"/>
  <c r="B157" i="2"/>
  <c r="B23" i="24" s="1"/>
  <c r="B144" i="2"/>
  <c r="B10" i="24" s="1"/>
  <c r="B158" i="2"/>
  <c r="B24" i="24" s="1"/>
  <c r="F136" i="2"/>
  <c r="F2" i="24" s="1"/>
  <c r="B160" i="2"/>
  <c r="B26" i="24" s="1"/>
  <c r="E144" i="2"/>
  <c r="E10" i="24" s="1"/>
  <c r="D136" i="2"/>
  <c r="D2" i="24" s="1"/>
  <c r="E137" i="2"/>
  <c r="E3" i="24" s="1"/>
  <c r="L43" i="2"/>
  <c r="H49" i="2" s="1"/>
  <c r="H43" i="2"/>
  <c r="H45" i="2" s="1"/>
  <c r="P43" i="2"/>
  <c r="H53" i="2" s="1"/>
  <c r="E152" i="2"/>
  <c r="E18" i="24" s="1"/>
  <c r="AY34" i="2"/>
  <c r="D144" i="2"/>
  <c r="D10" i="24" s="1"/>
  <c r="D158" i="2"/>
  <c r="D24" i="24" s="1"/>
  <c r="D143" i="2"/>
  <c r="D9" i="24" s="1"/>
  <c r="C144" i="2"/>
  <c r="B138" i="2"/>
  <c r="B4" i="24" s="1"/>
  <c r="B137" i="2"/>
  <c r="B3" i="24" s="1"/>
  <c r="C143" i="2"/>
  <c r="F144" i="2"/>
  <c r="F10" i="24" s="1"/>
  <c r="F143" i="2"/>
  <c r="F9" i="24" s="1"/>
  <c r="E136" i="2"/>
  <c r="E2" i="24" s="1"/>
  <c r="F137" i="2"/>
  <c r="F3" i="24" s="1"/>
  <c r="F151" i="2"/>
  <c r="F17" i="24" s="1"/>
  <c r="M43" i="2"/>
  <c r="H50" i="2" s="1"/>
  <c r="O43" i="2"/>
  <c r="H52" i="2" s="1"/>
  <c r="K43" i="2"/>
  <c r="H48" i="2" s="1"/>
  <c r="I43" i="2"/>
  <c r="H46" i="2" s="1"/>
  <c r="AZ34" i="2"/>
  <c r="F158" i="2"/>
  <c r="F24" i="24" s="1"/>
  <c r="D157" i="2"/>
  <c r="D23" i="24" s="1"/>
  <c r="D152" i="2"/>
  <c r="D18" i="24" s="1"/>
  <c r="D151" i="2"/>
  <c r="D17" i="24" s="1"/>
  <c r="D138" i="2"/>
  <c r="D4" i="24" s="1"/>
  <c r="AH41" i="2"/>
  <c r="AJ38" i="2"/>
  <c r="D119" i="2" s="1"/>
  <c r="D24" i="23" s="1"/>
  <c r="AH40" i="2"/>
  <c r="B121" i="2" s="1"/>
  <c r="AY42" i="2"/>
  <c r="AZ42" i="2"/>
  <c r="BB42" i="2"/>
  <c r="AX42" i="2"/>
  <c r="BA42" i="2"/>
  <c r="AJ42" i="2"/>
  <c r="AI37" i="2"/>
  <c r="AH39" i="2"/>
  <c r="B120" i="2" s="1"/>
  <c r="A25" i="23" s="1"/>
  <c r="AX34" i="2"/>
  <c r="AI34" i="2"/>
  <c r="C116" i="2" s="1"/>
  <c r="C21" i="23" s="1"/>
  <c r="AH31" i="2"/>
  <c r="AJ29" i="2"/>
  <c r="A115" i="2"/>
  <c r="B20" i="23" s="1"/>
  <c r="A124" i="2"/>
  <c r="B29" i="23" s="1"/>
  <c r="A100" i="2"/>
  <c r="B5" i="23" s="1"/>
  <c r="A105" i="2"/>
  <c r="B10" i="23" s="1"/>
  <c r="A114" i="2"/>
  <c r="B19" i="23" s="1"/>
  <c r="A109" i="2"/>
  <c r="B14" i="23" s="1"/>
  <c r="A112" i="2"/>
  <c r="B17" i="23" s="1"/>
  <c r="A117" i="2"/>
  <c r="B22" i="23" s="1"/>
  <c r="E40" i="2"/>
  <c r="E41" i="2"/>
  <c r="E43" i="2" s="1"/>
  <c r="AI21" i="2"/>
  <c r="AJ21" i="2"/>
  <c r="AH18" i="2"/>
  <c r="AJ18" i="2" s="1"/>
  <c r="AI23" i="2"/>
  <c r="AJ23" i="2"/>
  <c r="AI19" i="2"/>
  <c r="AJ17" i="2"/>
  <c r="AI17" i="2"/>
  <c r="AJ14" i="2"/>
  <c r="AI14" i="2"/>
  <c r="AJ16" i="2"/>
  <c r="D100" i="2" s="1"/>
  <c r="D5" i="23" s="1"/>
  <c r="AI16" i="2"/>
  <c r="C100" i="2" s="1"/>
  <c r="C5" i="23" s="1"/>
  <c r="G39" i="2"/>
  <c r="E39" i="2"/>
  <c r="B106" i="2"/>
  <c r="A11" i="23" s="1"/>
  <c r="D124" i="2"/>
  <c r="D29" i="23" s="1"/>
  <c r="B98" i="2"/>
  <c r="A3" i="23" s="1"/>
  <c r="B123" i="2"/>
  <c r="A28" i="23" s="1"/>
  <c r="C109" i="2"/>
  <c r="C14" i="23" s="1"/>
  <c r="B103" i="2"/>
  <c r="A8" i="23" s="1"/>
  <c r="AI15" i="2"/>
  <c r="B99" i="2"/>
  <c r="A4" i="23" s="1"/>
  <c r="C112" i="2"/>
  <c r="C17" i="23" s="1"/>
  <c r="C117" i="2"/>
  <c r="C22" i="23" s="1"/>
  <c r="C124" i="2"/>
  <c r="C29" i="23" s="1"/>
  <c r="B118" i="2"/>
  <c r="A23" i="23" s="1"/>
  <c r="B116" i="2"/>
  <c r="A21" i="23" s="1"/>
  <c r="D108" i="2"/>
  <c r="D13" i="23" s="1"/>
  <c r="D105" i="2"/>
  <c r="D10" i="23" s="1"/>
  <c r="D117" i="2"/>
  <c r="D22" i="23" s="1"/>
  <c r="D115" i="2"/>
  <c r="D20" i="23" s="1"/>
  <c r="D109" i="2"/>
  <c r="D14" i="23" s="1"/>
  <c r="D112" i="2"/>
  <c r="D17" i="23" s="1"/>
  <c r="C114" i="2"/>
  <c r="C19" i="23" s="1"/>
  <c r="B111" i="2"/>
  <c r="A16" i="23" s="1"/>
  <c r="AX19" i="2"/>
  <c r="AH13" i="2"/>
  <c r="B97" i="2" s="1"/>
  <c r="A2" i="23" s="1"/>
  <c r="D110" i="2"/>
  <c r="D15" i="23" s="1"/>
  <c r="B104" i="2"/>
  <c r="A9" i="23" s="1"/>
  <c r="B101" i="2"/>
  <c r="A6" i="23" s="1"/>
  <c r="D116" i="2"/>
  <c r="D21" i="23" s="1"/>
  <c r="C115" i="2"/>
  <c r="C20" i="23" s="1"/>
  <c r="D114" i="2"/>
  <c r="D19" i="23" s="1"/>
  <c r="BC44" i="2"/>
  <c r="BB26" i="2"/>
  <c r="AZ19" i="2"/>
  <c r="B119" i="2"/>
  <c r="A24" i="23" s="1"/>
  <c r="AX26" i="2"/>
  <c r="AZ26" i="2"/>
  <c r="AY19" i="2"/>
  <c r="BB19" i="2"/>
  <c r="BA26" i="2"/>
  <c r="E30" i="2"/>
  <c r="I17" i="7"/>
  <c r="BA18" i="2"/>
  <c r="BB18" i="2"/>
  <c r="AX18" i="2"/>
  <c r="AZ18" i="2"/>
  <c r="AY18" i="2"/>
  <c r="O35" i="2"/>
  <c r="Q52" i="2" s="1"/>
  <c r="J35" i="2"/>
  <c r="Q47" i="2" s="1"/>
  <c r="M35" i="2"/>
  <c r="Q50" i="2" s="1"/>
  <c r="N35" i="2"/>
  <c r="Q51" i="2" s="1"/>
  <c r="C31" i="2"/>
  <c r="D31" i="2" s="1"/>
  <c r="K35" i="2"/>
  <c r="Q48" i="2" s="1"/>
  <c r="H35" i="2"/>
  <c r="Q45" i="2" s="1"/>
  <c r="L35" i="2"/>
  <c r="Q49" i="2" s="1"/>
  <c r="I35" i="2"/>
  <c r="Q46" i="2" s="1"/>
  <c r="P35" i="2"/>
  <c r="Q53" i="2" s="1"/>
  <c r="BD20" i="2"/>
  <c r="BD28" i="2" s="1"/>
  <c r="BD36" i="2" s="1"/>
  <c r="BF42" i="2"/>
  <c r="BF43" i="2" s="1"/>
  <c r="BI42" i="2"/>
  <c r="BD42" i="2"/>
  <c r="BE42" i="2"/>
  <c r="BE43" i="2" s="1"/>
  <c r="BJ42" i="2"/>
  <c r="BD43" i="2"/>
  <c r="BC43" i="2"/>
  <c r="BH43" i="2"/>
  <c r="BG43" i="2"/>
  <c r="AJ15" i="2"/>
  <c r="B12" i="6"/>
  <c r="B10" i="8"/>
  <c r="E32" i="2"/>
  <c r="G33" i="2"/>
  <c r="G35" i="2" s="1"/>
  <c r="E33" i="2"/>
  <c r="E34" i="2"/>
  <c r="G34" i="2"/>
  <c r="B10" i="6"/>
  <c r="B12" i="8"/>
  <c r="E26" i="2"/>
  <c r="G26" i="2"/>
  <c r="E24" i="2"/>
  <c r="G24" i="2"/>
  <c r="E25" i="2"/>
  <c r="G25" i="2"/>
  <c r="G23" i="2"/>
  <c r="E23" i="2"/>
  <c r="M27" i="2"/>
  <c r="N50" i="2" s="1"/>
  <c r="I27" i="2"/>
  <c r="N46" i="2" s="1"/>
  <c r="C22" i="2"/>
  <c r="D22" i="2" s="1"/>
  <c r="F22" i="2" s="1"/>
  <c r="P27" i="2"/>
  <c r="N53" i="2" s="1"/>
  <c r="H27" i="2"/>
  <c r="N45" i="2" s="1"/>
  <c r="O27" i="2"/>
  <c r="N52" i="2" s="1"/>
  <c r="K27" i="2"/>
  <c r="N48" i="2" s="1"/>
  <c r="N27" i="2"/>
  <c r="N51" i="2" s="1"/>
  <c r="J27" i="2"/>
  <c r="N47" i="2" s="1"/>
  <c r="L27" i="2"/>
  <c r="N49" i="2" s="1"/>
  <c r="E17" i="2"/>
  <c r="G17" i="2"/>
  <c r="G19" i="2" s="1"/>
  <c r="G16" i="2"/>
  <c r="E16" i="2"/>
  <c r="E18" i="2"/>
  <c r="G18" i="2"/>
  <c r="M19" i="2"/>
  <c r="K50" i="2" s="1"/>
  <c r="I19" i="2"/>
  <c r="K46" i="2" s="1"/>
  <c r="K19" i="2"/>
  <c r="K48" i="2" s="1"/>
  <c r="C14" i="2"/>
  <c r="D14" i="2" s="1"/>
  <c r="F14" i="2" s="1"/>
  <c r="N19" i="2"/>
  <c r="K51" i="2" s="1"/>
  <c r="P19" i="2"/>
  <c r="K53" i="2" s="1"/>
  <c r="L19" i="2"/>
  <c r="K49" i="2" s="1"/>
  <c r="H19" i="2"/>
  <c r="K45" i="2" s="1"/>
  <c r="O19" i="2"/>
  <c r="K52" i="2" s="1"/>
  <c r="J19" i="2"/>
  <c r="K47" i="2" s="1"/>
  <c r="G15" i="2"/>
  <c r="E15" i="2"/>
  <c r="G27" i="2" l="1"/>
  <c r="A107" i="2"/>
  <c r="B12" i="23" s="1"/>
  <c r="G46" i="2"/>
  <c r="Q40" i="2"/>
  <c r="M46" i="2"/>
  <c r="Q24" i="2"/>
  <c r="P46" i="2"/>
  <c r="Q32" i="2"/>
  <c r="A110" i="2"/>
  <c r="B15" i="23" s="1"/>
  <c r="A108" i="2"/>
  <c r="B13" i="23" s="1"/>
  <c r="J46" i="2"/>
  <c r="Q16" i="2"/>
  <c r="G30" i="2"/>
  <c r="F30" i="2"/>
  <c r="G31" i="2"/>
  <c r="F31" i="2"/>
  <c r="G38" i="2"/>
  <c r="F38" i="2"/>
  <c r="C19" i="24"/>
  <c r="A153" i="2"/>
  <c r="A19" i="24" s="1"/>
  <c r="C18" i="24"/>
  <c r="A152" i="2"/>
  <c r="A18" i="24" s="1"/>
  <c r="E27" i="2"/>
  <c r="Q23" i="2" s="1"/>
  <c r="Q41" i="2"/>
  <c r="G47" i="2"/>
  <c r="E31" i="2"/>
  <c r="E35" i="2" s="1"/>
  <c r="P45" i="2" s="1"/>
  <c r="C9" i="24"/>
  <c r="A143" i="2"/>
  <c r="A9" i="24" s="1"/>
  <c r="A144" i="2"/>
  <c r="A10" i="24" s="1"/>
  <c r="C10" i="24"/>
  <c r="C2" i="24"/>
  <c r="A136" i="2"/>
  <c r="A2" i="24" s="1"/>
  <c r="A137" i="2"/>
  <c r="A3" i="24" s="1"/>
  <c r="C3" i="24"/>
  <c r="AI18" i="2"/>
  <c r="C102" i="2" s="1"/>
  <c r="C7" i="23" s="1"/>
  <c r="A150" i="2"/>
  <c r="A16" i="24" s="1"/>
  <c r="C16" i="24"/>
  <c r="A151" i="2"/>
  <c r="A17" i="24" s="1"/>
  <c r="C17" i="24"/>
  <c r="A158" i="2"/>
  <c r="A24" i="24" s="1"/>
  <c r="C24" i="24"/>
  <c r="A157" i="2"/>
  <c r="A23" i="24" s="1"/>
  <c r="C23" i="24"/>
  <c r="Q39" i="2"/>
  <c r="G45" i="2"/>
  <c r="A26" i="23"/>
  <c r="A121" i="2"/>
  <c r="B26" i="23" s="1"/>
  <c r="AJ41" i="2"/>
  <c r="D122" i="2" s="1"/>
  <c r="D27" i="23" s="1"/>
  <c r="AI41" i="2"/>
  <c r="C122" i="2" s="1"/>
  <c r="C27" i="23" s="1"/>
  <c r="AJ40" i="2"/>
  <c r="D121" i="2" s="1"/>
  <c r="D26" i="23" s="1"/>
  <c r="AI40" i="2"/>
  <c r="C121" i="2" s="1"/>
  <c r="C26" i="23" s="1"/>
  <c r="B122" i="2"/>
  <c r="A120" i="2"/>
  <c r="B25" i="23" s="1"/>
  <c r="AI39" i="2"/>
  <c r="C120" i="2" s="1"/>
  <c r="C25" i="23" s="1"/>
  <c r="AJ39" i="2"/>
  <c r="D120" i="2" s="1"/>
  <c r="D25" i="23" s="1"/>
  <c r="AI31" i="2"/>
  <c r="C113" i="2" s="1"/>
  <c r="C18" i="23" s="1"/>
  <c r="AJ31" i="2"/>
  <c r="D113" i="2" s="1"/>
  <c r="D18" i="23" s="1"/>
  <c r="B113" i="2"/>
  <c r="A101" i="2"/>
  <c r="B6" i="23" s="1"/>
  <c r="A111" i="2"/>
  <c r="B16" i="23" s="1"/>
  <c r="A118" i="2"/>
  <c r="B23" i="23" s="1"/>
  <c r="A119" i="2"/>
  <c r="B24" i="23" s="1"/>
  <c r="A99" i="2"/>
  <c r="B4" i="23" s="1"/>
  <c r="A123" i="2"/>
  <c r="B28" i="23" s="1"/>
  <c r="A106" i="2"/>
  <c r="B11" i="23" s="1"/>
  <c r="A97" i="2"/>
  <c r="B2" i="23" s="1"/>
  <c r="A98" i="2"/>
  <c r="B3" i="23" s="1"/>
  <c r="A104" i="2"/>
  <c r="B9" i="23" s="1"/>
  <c r="A116" i="2"/>
  <c r="B21" i="23" s="1"/>
  <c r="A103" i="2"/>
  <c r="B8" i="23" s="1"/>
  <c r="E19" i="2"/>
  <c r="Q15" i="2" s="1"/>
  <c r="R19" i="2" s="1"/>
  <c r="B102" i="2"/>
  <c r="A7" i="23" s="1"/>
  <c r="AI13" i="2"/>
  <c r="C97" i="2" s="1"/>
  <c r="C2" i="23" s="1"/>
  <c r="D101" i="2"/>
  <c r="D6" i="23" s="1"/>
  <c r="D99" i="2"/>
  <c r="D4" i="23" s="1"/>
  <c r="C123" i="2"/>
  <c r="C28" i="23" s="1"/>
  <c r="D111" i="2"/>
  <c r="D16" i="23" s="1"/>
  <c r="D118" i="2"/>
  <c r="D23" i="23" s="1"/>
  <c r="C119" i="2"/>
  <c r="C24" i="23" s="1"/>
  <c r="D104" i="2"/>
  <c r="D9" i="23" s="1"/>
  <c r="C104" i="2"/>
  <c r="C9" i="23" s="1"/>
  <c r="D102" i="2"/>
  <c r="D7" i="23" s="1"/>
  <c r="C111" i="2"/>
  <c r="C16" i="23" s="1"/>
  <c r="AJ13" i="2"/>
  <c r="C118" i="2"/>
  <c r="C23" i="23" s="1"/>
  <c r="D103" i="2"/>
  <c r="D8" i="23" s="1"/>
  <c r="D98" i="2"/>
  <c r="D3" i="23" s="1"/>
  <c r="C101" i="2"/>
  <c r="C6" i="23" s="1"/>
  <c r="C103" i="2"/>
  <c r="C8" i="23" s="1"/>
  <c r="C106" i="2"/>
  <c r="C11" i="23" s="1"/>
  <c r="D123" i="2"/>
  <c r="D28" i="23" s="1"/>
  <c r="C98" i="2"/>
  <c r="C3" i="23" s="1"/>
  <c r="C99" i="2"/>
  <c r="C4" i="23" s="1"/>
  <c r="D106" i="2"/>
  <c r="D11" i="23" s="1"/>
  <c r="AX20" i="2"/>
  <c r="AX28" i="2" s="1"/>
  <c r="AX36" i="2" s="1"/>
  <c r="AX44" i="2" s="1"/>
  <c r="BD44" i="2"/>
  <c r="P47" i="2"/>
  <c r="Q33" i="2"/>
  <c r="Q17" i="2"/>
  <c r="E22" i="2"/>
  <c r="G22" i="2"/>
  <c r="M47" i="2"/>
  <c r="Q25" i="2"/>
  <c r="E14" i="2"/>
  <c r="G14" i="2"/>
  <c r="M45" i="2" l="1"/>
  <c r="T27" i="2"/>
  <c r="O47" i="2" s="1"/>
  <c r="Y27" i="2"/>
  <c r="O52" i="2" s="1"/>
  <c r="R27" i="2"/>
  <c r="O45" i="2" s="1"/>
  <c r="S27" i="2"/>
  <c r="O46" i="2" s="1"/>
  <c r="V27" i="2"/>
  <c r="O49" i="2" s="1"/>
  <c r="Z27" i="2"/>
  <c r="O53" i="2" s="1"/>
  <c r="U27" i="2"/>
  <c r="O48" i="2" s="1"/>
  <c r="X27" i="2"/>
  <c r="O51" i="2" s="1"/>
  <c r="W27" i="2"/>
  <c r="O50" i="2" s="1"/>
  <c r="Q31" i="2"/>
  <c r="H22" i="24" a="1"/>
  <c r="H22" i="24" s="1"/>
  <c r="M22" i="24" s="1"/>
  <c r="H16" i="24" a="1"/>
  <c r="H16" i="24" s="1"/>
  <c r="M16" i="24" s="1"/>
  <c r="X31" i="8" s="1"/>
  <c r="H24" i="24" a="1"/>
  <c r="H24" i="24" s="1"/>
  <c r="N24" i="24" s="1"/>
  <c r="H15" i="24" a="1"/>
  <c r="H15" i="24" s="1"/>
  <c r="K15" i="24" s="1"/>
  <c r="H30" i="8" s="1"/>
  <c r="H25" i="24" a="1"/>
  <c r="H25" i="24" s="1"/>
  <c r="N25" i="24" s="1"/>
  <c r="H9" i="24" a="1"/>
  <c r="H9" i="24" s="1"/>
  <c r="K9" i="24" s="1"/>
  <c r="H24" i="8" s="1"/>
  <c r="H6" i="24" a="1"/>
  <c r="H6" i="24" s="1"/>
  <c r="L6" i="24" s="1"/>
  <c r="O21" i="8" s="1"/>
  <c r="H11" i="24" a="1"/>
  <c r="H11" i="24" s="1"/>
  <c r="J11" i="24" s="1"/>
  <c r="B26" i="8" s="1"/>
  <c r="H14" i="24" a="1"/>
  <c r="H14" i="24" s="1"/>
  <c r="N14" i="24" s="1"/>
  <c r="AD29" i="8" s="1"/>
  <c r="H23" i="24" a="1"/>
  <c r="H23" i="24" s="1"/>
  <c r="M23" i="24" s="1"/>
  <c r="H5" i="24" a="1"/>
  <c r="H5" i="24" s="1"/>
  <c r="N5" i="24" s="1"/>
  <c r="AD20" i="8" s="1"/>
  <c r="H8" i="24" a="1"/>
  <c r="H8" i="24" s="1"/>
  <c r="M8" i="24" s="1"/>
  <c r="X23" i="8" s="1"/>
  <c r="H17" i="24" a="1"/>
  <c r="H17" i="24" s="1"/>
  <c r="L17" i="24" s="1"/>
  <c r="O32" i="8" s="1"/>
  <c r="H20" i="24" a="1"/>
  <c r="H20" i="24" s="1"/>
  <c r="N20" i="24" s="1"/>
  <c r="AD35" i="8" s="1"/>
  <c r="H12" i="24" a="1"/>
  <c r="H12" i="24" s="1"/>
  <c r="K12" i="24" s="1"/>
  <c r="H27" i="8" s="1"/>
  <c r="H4" i="24" a="1"/>
  <c r="H4" i="24" s="1"/>
  <c r="J4" i="24" s="1"/>
  <c r="B19" i="8" s="1"/>
  <c r="H21" i="24" a="1"/>
  <c r="H21" i="24" s="1"/>
  <c r="K21" i="24" s="1"/>
  <c r="H13" i="24" a="1"/>
  <c r="H13" i="24" s="1"/>
  <c r="K13" i="24" s="1"/>
  <c r="H28" i="8" s="1"/>
  <c r="H3" i="24" a="1"/>
  <c r="H3" i="24" s="1"/>
  <c r="L3" i="24" s="1"/>
  <c r="O18" i="8" s="1"/>
  <c r="H7" i="24" a="1"/>
  <c r="H7" i="24" s="1"/>
  <c r="L7" i="24" s="1"/>
  <c r="O22" i="8" s="1"/>
  <c r="H2" i="24" a="1"/>
  <c r="H2" i="24" s="1"/>
  <c r="J2" i="24" s="1"/>
  <c r="B17" i="8" s="1"/>
  <c r="H18" i="24" a="1"/>
  <c r="H18" i="24" s="1"/>
  <c r="N18" i="24" s="1"/>
  <c r="AD33" i="8" s="1"/>
  <c r="H10" i="24" a="1"/>
  <c r="H10" i="24" s="1"/>
  <c r="L10" i="24" s="1"/>
  <c r="O25" i="8" s="1"/>
  <c r="H26" i="24" a="1"/>
  <c r="H26" i="24" s="1"/>
  <c r="L26" i="24" s="1"/>
  <c r="H19" i="24" a="1"/>
  <c r="H19" i="24" s="1"/>
  <c r="L19" i="24" s="1"/>
  <c r="O34" i="8" s="1"/>
  <c r="K16" i="24"/>
  <c r="H31" i="8" s="1"/>
  <c r="M24" i="24"/>
  <c r="J45" i="2"/>
  <c r="X43" i="2"/>
  <c r="I51" i="2" s="1"/>
  <c r="Y43" i="2"/>
  <c r="I52" i="2" s="1"/>
  <c r="T43" i="2"/>
  <c r="I47" i="2" s="1"/>
  <c r="R43" i="2"/>
  <c r="I45" i="2" s="1"/>
  <c r="U43" i="2"/>
  <c r="I48" i="2" s="1"/>
  <c r="Z43" i="2"/>
  <c r="I53" i="2" s="1"/>
  <c r="W43" i="2"/>
  <c r="I50" i="2" s="1"/>
  <c r="V43" i="2"/>
  <c r="I49" i="2" s="1"/>
  <c r="S43" i="2"/>
  <c r="I46" i="2" s="1"/>
  <c r="A27" i="23"/>
  <c r="A122" i="2"/>
  <c r="B27" i="23" s="1"/>
  <c r="A18" i="23"/>
  <c r="A113" i="2"/>
  <c r="B18" i="23" s="1"/>
  <c r="A102" i="2"/>
  <c r="B7" i="23" s="1"/>
  <c r="D97" i="2"/>
  <c r="D2" i="23" s="1"/>
  <c r="J47" i="2"/>
  <c r="W35" i="2"/>
  <c r="R50" i="2" s="1"/>
  <c r="X35" i="2"/>
  <c r="R51" i="2" s="1"/>
  <c r="T35" i="2"/>
  <c r="R47" i="2" s="1"/>
  <c r="S35" i="2"/>
  <c r="R46" i="2" s="1"/>
  <c r="R35" i="2"/>
  <c r="R45" i="2" s="1"/>
  <c r="Y35" i="2"/>
  <c r="R52" i="2" s="1"/>
  <c r="V35" i="2"/>
  <c r="R49" i="2" s="1"/>
  <c r="Z35" i="2"/>
  <c r="R53" i="2" s="1"/>
  <c r="U35" i="2"/>
  <c r="R48" i="2" s="1"/>
  <c r="Z19" i="2"/>
  <c r="L53" i="2" s="1"/>
  <c r="V19" i="2"/>
  <c r="L49" i="2" s="1"/>
  <c r="L45" i="2"/>
  <c r="T19" i="2"/>
  <c r="L47" i="2" s="1"/>
  <c r="W19" i="2"/>
  <c r="L50" i="2" s="1"/>
  <c r="Y19" i="2"/>
  <c r="L52" i="2" s="1"/>
  <c r="U19" i="2"/>
  <c r="L48" i="2" s="1"/>
  <c r="X19" i="2"/>
  <c r="L51" i="2" s="1"/>
  <c r="S19" i="2"/>
  <c r="L46" i="2" s="1"/>
  <c r="N22" i="24" l="1"/>
  <c r="L22" i="24"/>
  <c r="J22" i="24"/>
  <c r="K22" i="24"/>
  <c r="N16" i="24"/>
  <c r="AD31" i="8" s="1"/>
  <c r="L16" i="24"/>
  <c r="O31" i="8" s="1"/>
  <c r="J6" i="24"/>
  <c r="B21" i="8" s="1"/>
  <c r="J9" i="24"/>
  <c r="B24" i="8" s="1"/>
  <c r="J16" i="24"/>
  <c r="B31" i="8" s="1"/>
  <c r="N15" i="24"/>
  <c r="AD30" i="8" s="1"/>
  <c r="L24" i="24"/>
  <c r="M25" i="24"/>
  <c r="K25" i="24"/>
  <c r="K14" i="24"/>
  <c r="H29" i="8" s="1"/>
  <c r="J25" i="24"/>
  <c r="N12" i="24"/>
  <c r="AD27" i="8" s="1"/>
  <c r="K6" i="24"/>
  <c r="H21" i="8" s="1"/>
  <c r="J24" i="24"/>
  <c r="M5" i="24"/>
  <c r="X20" i="8" s="1"/>
  <c r="N6" i="24"/>
  <c r="AD21" i="8" s="1"/>
  <c r="M11" i="24"/>
  <c r="X26" i="8" s="1"/>
  <c r="K7" i="24"/>
  <c r="H22" i="8" s="1"/>
  <c r="L15" i="24"/>
  <c r="O30" i="8" s="1"/>
  <c r="K11" i="24"/>
  <c r="H26" i="8" s="1"/>
  <c r="L4" i="24"/>
  <c r="O19" i="8" s="1"/>
  <c r="M7" i="24"/>
  <c r="X22" i="8" s="1"/>
  <c r="M15" i="24"/>
  <c r="X30" i="8" s="1"/>
  <c r="M6" i="24"/>
  <c r="X21" i="8" s="1"/>
  <c r="K24" i="24"/>
  <c r="L8" i="24"/>
  <c r="O23" i="8" s="1"/>
  <c r="K26" i="24"/>
  <c r="N4" i="24"/>
  <c r="AD19" i="8" s="1"/>
  <c r="J15" i="24"/>
  <c r="B30" i="8" s="1"/>
  <c r="N11" i="24"/>
  <c r="AD26" i="8" s="1"/>
  <c r="J8" i="24"/>
  <c r="B23" i="8" s="1"/>
  <c r="J23" i="24"/>
  <c r="N23" i="24"/>
  <c r="N9" i="24"/>
  <c r="AD24" i="8" s="1"/>
  <c r="M9" i="24"/>
  <c r="X24" i="8" s="1"/>
  <c r="J17" i="24"/>
  <c r="B32" i="8" s="1"/>
  <c r="L25" i="24"/>
  <c r="K20" i="24"/>
  <c r="H35" i="8" s="1"/>
  <c r="L9" i="24"/>
  <c r="O24" i="8" s="1"/>
  <c r="J21" i="24"/>
  <c r="J14" i="24"/>
  <c r="B29" i="8" s="1"/>
  <c r="L14" i="24"/>
  <c r="O29" i="8" s="1"/>
  <c r="K17" i="24"/>
  <c r="H32" i="8" s="1"/>
  <c r="L11" i="24"/>
  <c r="O26" i="8" s="1"/>
  <c r="M19" i="24"/>
  <c r="X34" i="8" s="1"/>
  <c r="K18" i="24"/>
  <c r="H33" i="8" s="1"/>
  <c r="M14" i="24"/>
  <c r="X29" i="8" s="1"/>
  <c r="M17" i="24"/>
  <c r="X32" i="8" s="1"/>
  <c r="N17" i="24"/>
  <c r="AD32" i="8" s="1"/>
  <c r="J19" i="24"/>
  <c r="B34" i="8" s="1"/>
  <c r="N26" i="24"/>
  <c r="L21" i="24"/>
  <c r="K8" i="24"/>
  <c r="H23" i="8" s="1"/>
  <c r="M26" i="24"/>
  <c r="L2" i="24"/>
  <c r="O17" i="8" s="1"/>
  <c r="K5" i="24"/>
  <c r="H20" i="8" s="1"/>
  <c r="L5" i="24"/>
  <c r="O20" i="8" s="1"/>
  <c r="J12" i="24"/>
  <c r="B27" i="8" s="1"/>
  <c r="J5" i="24"/>
  <c r="B20" i="8" s="1"/>
  <c r="L13" i="24"/>
  <c r="O28" i="8" s="1"/>
  <c r="M20" i="24"/>
  <c r="X35" i="8" s="1"/>
  <c r="N3" i="24"/>
  <c r="AD18" i="8" s="1"/>
  <c r="J10" i="24"/>
  <c r="B25" i="8" s="1"/>
  <c r="M3" i="24"/>
  <c r="X18" i="8" s="1"/>
  <c r="J13" i="24"/>
  <c r="B28" i="8" s="1"/>
  <c r="L20" i="24"/>
  <c r="O35" i="8" s="1"/>
  <c r="J3" i="24"/>
  <c r="B18" i="8" s="1"/>
  <c r="M10" i="24"/>
  <c r="X25" i="8" s="1"/>
  <c r="J18" i="24"/>
  <c r="B33" i="8" s="1"/>
  <c r="N13" i="24"/>
  <c r="AD28" i="8" s="1"/>
  <c r="M4" i="24"/>
  <c r="X19" i="8" s="1"/>
  <c r="J20" i="24"/>
  <c r="B35" i="8" s="1"/>
  <c r="N7" i="24"/>
  <c r="AD22" i="8" s="1"/>
  <c r="K23" i="24"/>
  <c r="L23" i="24"/>
  <c r="N8" i="24"/>
  <c r="AD23" i="8" s="1"/>
  <c r="N19" i="24"/>
  <c r="AD34" i="8" s="1"/>
  <c r="J26" i="24"/>
  <c r="L18" i="24"/>
  <c r="O33" i="8" s="1"/>
  <c r="M2" i="24"/>
  <c r="X17" i="8" s="1"/>
  <c r="M13" i="24"/>
  <c r="X28" i="8" s="1"/>
  <c r="K4" i="24"/>
  <c r="H19" i="8" s="1"/>
  <c r="J7" i="24"/>
  <c r="B22" i="8" s="1"/>
  <c r="M18" i="24"/>
  <c r="X33" i="8" s="1"/>
  <c r="K10" i="24"/>
  <c r="H25" i="8" s="1"/>
  <c r="K2" i="24"/>
  <c r="H17" i="8" s="1"/>
  <c r="M21" i="24"/>
  <c r="M12" i="24"/>
  <c r="X27" i="8" s="1"/>
  <c r="K3" i="24"/>
  <c r="H18" i="8" s="1"/>
  <c r="K19" i="24"/>
  <c r="H34" i="8" s="1"/>
  <c r="N10" i="24"/>
  <c r="AD25" i="8" s="1"/>
  <c r="N2" i="24"/>
  <c r="AD17" i="8" s="1"/>
  <c r="N21" i="24"/>
  <c r="L12" i="24"/>
  <c r="O27" i="8" s="1"/>
  <c r="F9" i="23" a="1"/>
  <c r="F9" i="23" s="1"/>
  <c r="K9" i="23" s="1"/>
  <c r="AE28" i="6" s="1"/>
  <c r="F28" i="23" a="1"/>
  <c r="F28" i="23" s="1"/>
  <c r="K28" i="23" s="1"/>
  <c r="AE47" i="6" s="1"/>
  <c r="F20" i="23" a="1"/>
  <c r="F20" i="23" s="1"/>
  <c r="K20" i="23" s="1"/>
  <c r="F12" i="23" a="1"/>
  <c r="F12" i="23" s="1"/>
  <c r="J12" i="23" s="1"/>
  <c r="T31" i="6" s="1"/>
  <c r="F4" i="23" a="1"/>
  <c r="F4" i="23" s="1"/>
  <c r="I4" i="23" s="1"/>
  <c r="I23" i="6" s="1"/>
  <c r="F23" i="23" a="1"/>
  <c r="F23" i="23" s="1"/>
  <c r="I23" i="23" s="1"/>
  <c r="I42" i="6" s="1"/>
  <c r="F15" i="23" a="1"/>
  <c r="F15" i="23" s="1"/>
  <c r="K15" i="23" s="1"/>
  <c r="AE34" i="6" s="1"/>
  <c r="F7" i="23" a="1"/>
  <c r="F7" i="23" s="1"/>
  <c r="J7" i="23" s="1"/>
  <c r="F26" i="23" a="1"/>
  <c r="F26" i="23" s="1"/>
  <c r="K26" i="23" s="1"/>
  <c r="AE45" i="6" s="1"/>
  <c r="F18" i="23" a="1"/>
  <c r="F18" i="23" s="1"/>
  <c r="H18" i="23" s="1"/>
  <c r="B37" i="6" s="1"/>
  <c r="F10" i="23" a="1"/>
  <c r="F10" i="23" s="1"/>
  <c r="I10" i="23" s="1"/>
  <c r="I29" i="6" s="1"/>
  <c r="F29" i="23" a="1"/>
  <c r="F29" i="23" s="1"/>
  <c r="J29" i="23" s="1"/>
  <c r="T48" i="6" s="1"/>
  <c r="F21" i="23" a="1"/>
  <c r="F21" i="23" s="1"/>
  <c r="K21" i="23" s="1"/>
  <c r="AE40" i="6" s="1"/>
  <c r="F13" i="23" a="1"/>
  <c r="F13" i="23" s="1"/>
  <c r="H13" i="23" s="1"/>
  <c r="B32" i="6" s="1"/>
  <c r="F5" i="23" a="1"/>
  <c r="F5" i="23" s="1"/>
  <c r="K5" i="23" s="1"/>
  <c r="F24" i="23" a="1"/>
  <c r="F24" i="23" s="1"/>
  <c r="J24" i="23" s="1"/>
  <c r="F16" i="23" a="1"/>
  <c r="F16" i="23" s="1"/>
  <c r="K16" i="23" s="1"/>
  <c r="AE35" i="6" s="1"/>
  <c r="F8" i="23" a="1"/>
  <c r="F8" i="23" s="1"/>
  <c r="H8" i="23" s="1"/>
  <c r="B27" i="6" s="1"/>
  <c r="F27" i="23" a="1"/>
  <c r="F27" i="23" s="1"/>
  <c r="K27" i="23" s="1"/>
  <c r="AE46" i="6" s="1"/>
  <c r="F19" i="23" a="1"/>
  <c r="F19" i="23" s="1"/>
  <c r="J19" i="23" s="1"/>
  <c r="T38" i="6" s="1"/>
  <c r="F11" i="23" a="1"/>
  <c r="F11" i="23" s="1"/>
  <c r="H11" i="23" s="1"/>
  <c r="B30" i="6" s="1"/>
  <c r="F3" i="23" a="1"/>
  <c r="F3" i="23" s="1"/>
  <c r="H3" i="23" s="1"/>
  <c r="B22" i="6" s="1"/>
  <c r="F2" i="23" a="1"/>
  <c r="F2" i="23" s="1"/>
  <c r="J2" i="23" s="1"/>
  <c r="T21" i="6" s="1"/>
  <c r="F22" i="23" a="1"/>
  <c r="F22" i="23" s="1"/>
  <c r="J22" i="23" s="1"/>
  <c r="T41" i="6" s="1"/>
  <c r="F14" i="23" a="1"/>
  <c r="F14" i="23" s="1"/>
  <c r="K14" i="23" s="1"/>
  <c r="AE33" i="6" s="1"/>
  <c r="F6" i="23" a="1"/>
  <c r="F6" i="23" s="1"/>
  <c r="H6" i="23" s="1"/>
  <c r="B25" i="6" s="1"/>
  <c r="F25" i="23" a="1"/>
  <c r="F25" i="23" s="1"/>
  <c r="K25" i="23" s="1"/>
  <c r="AE44" i="6" s="1"/>
  <c r="F17" i="23" a="1"/>
  <c r="F17" i="23" s="1"/>
  <c r="I17" i="23" s="1"/>
  <c r="I36" i="6" s="1"/>
  <c r="J9" i="23" l="1"/>
  <c r="T28" i="6" s="1"/>
  <c r="J21" i="23"/>
  <c r="T40" i="6" s="1"/>
  <c r="I16" i="23"/>
  <c r="I35" i="6" s="1"/>
  <c r="H9" i="23"/>
  <c r="B28" i="6" s="1"/>
  <c r="I26" i="23"/>
  <c r="I45" i="6" s="1"/>
  <c r="J11" i="23"/>
  <c r="T30" i="6" s="1"/>
  <c r="J4" i="23"/>
  <c r="T23" i="6" s="1"/>
  <c r="J16" i="23"/>
  <c r="T35" i="6" s="1"/>
  <c r="J26" i="23"/>
  <c r="T45" i="6" s="1"/>
  <c r="I9" i="23"/>
  <c r="I28" i="6" s="1"/>
  <c r="J14" i="23"/>
  <c r="T33" i="6" s="1"/>
  <c r="I21" i="23"/>
  <c r="I40" i="6" s="1"/>
  <c r="K4" i="23"/>
  <c r="AE23" i="6" s="1"/>
  <c r="I14" i="23"/>
  <c r="I33" i="6" s="1"/>
  <c r="H5" i="23"/>
  <c r="B24" i="6" s="1"/>
  <c r="K11" i="23"/>
  <c r="AE30" i="6" s="1"/>
  <c r="K24" i="23"/>
  <c r="AE43" i="6" s="1"/>
  <c r="I13" i="23"/>
  <c r="I32" i="6" s="1"/>
  <c r="I15" i="23"/>
  <c r="I34" i="6" s="1"/>
  <c r="I3" i="23"/>
  <c r="I22" i="6" s="1"/>
  <c r="K7" i="23"/>
  <c r="AE26" i="6" s="1"/>
  <c r="H23" i="23"/>
  <c r="B42" i="6" s="1"/>
  <c r="K8" i="23"/>
  <c r="AE27" i="6" s="1"/>
  <c r="I18" i="23"/>
  <c r="I37" i="6" s="1"/>
  <c r="I28" i="23"/>
  <c r="I47" i="6" s="1"/>
  <c r="K3" i="23"/>
  <c r="AE22" i="6" s="1"/>
  <c r="I8" i="23"/>
  <c r="I27" i="6" s="1"/>
  <c r="K23" i="23"/>
  <c r="AE42" i="6" s="1"/>
  <c r="J28" i="23"/>
  <c r="T47" i="6" s="1"/>
  <c r="K13" i="23"/>
  <c r="AE32" i="6" s="1"/>
  <c r="K18" i="23"/>
  <c r="AE37" i="6" s="1"/>
  <c r="K19" i="23"/>
  <c r="AE38" i="6" s="1"/>
  <c r="I29" i="23"/>
  <c r="I48" i="6" s="1"/>
  <c r="I12" i="23"/>
  <c r="I31" i="6" s="1"/>
  <c r="H2" i="23"/>
  <c r="B21" i="6" s="1"/>
  <c r="H27" i="23"/>
  <c r="B46" i="6" s="1"/>
  <c r="K10" i="23"/>
  <c r="AE29" i="6" s="1"/>
  <c r="H20" i="23"/>
  <c r="B39" i="6" s="1"/>
  <c r="H17" i="23"/>
  <c r="B36" i="6" s="1"/>
  <c r="J27" i="23"/>
  <c r="T46" i="6" s="1"/>
  <c r="J5" i="23"/>
  <c r="T24" i="6" s="1"/>
  <c r="J10" i="23"/>
  <c r="T29" i="6" s="1"/>
  <c r="J15" i="23"/>
  <c r="T34" i="6" s="1"/>
  <c r="J20" i="23"/>
  <c r="T39" i="6" s="1"/>
  <c r="K17" i="23"/>
  <c r="AE36" i="6" s="1"/>
  <c r="H22" i="23"/>
  <c r="B41" i="6" s="1"/>
  <c r="K2" i="23"/>
  <c r="AE21" i="6" s="1"/>
  <c r="I19" i="23"/>
  <c r="I38" i="6" s="1"/>
  <c r="H24" i="23"/>
  <c r="B43" i="6" s="1"/>
  <c r="K29" i="23"/>
  <c r="AE48" i="6" s="1"/>
  <c r="H7" i="23"/>
  <c r="B26" i="6" s="1"/>
  <c r="H12" i="23"/>
  <c r="B31" i="6" s="1"/>
  <c r="I25" i="23"/>
  <c r="I44" i="6" s="1"/>
  <c r="K22" i="23"/>
  <c r="AE41" i="6" s="1"/>
  <c r="K6" i="23"/>
  <c r="AE25" i="6" s="1"/>
  <c r="J3" i="23"/>
  <c r="T22" i="6" s="1"/>
  <c r="H19" i="23"/>
  <c r="B38" i="6" s="1"/>
  <c r="J8" i="23"/>
  <c r="T27" i="6" s="1"/>
  <c r="I24" i="23"/>
  <c r="I43" i="6" s="1"/>
  <c r="J13" i="23"/>
  <c r="T32" i="6" s="1"/>
  <c r="H29" i="23"/>
  <c r="J18" i="23"/>
  <c r="T37" i="6" s="1"/>
  <c r="I7" i="23"/>
  <c r="I26" i="6" s="1"/>
  <c r="J23" i="23"/>
  <c r="T42" i="6" s="1"/>
  <c r="K12" i="23"/>
  <c r="AE31" i="6" s="1"/>
  <c r="H28" i="23"/>
  <c r="B47" i="6" s="1"/>
  <c r="J17" i="23"/>
  <c r="T36" i="6" s="1"/>
  <c r="J6" i="23"/>
  <c r="T25" i="6" s="1"/>
  <c r="I22" i="23"/>
  <c r="I41" i="6" s="1"/>
  <c r="I6" i="23"/>
  <c r="I25" i="6" s="1"/>
  <c r="J25" i="23"/>
  <c r="T44" i="6" s="1"/>
  <c r="I2" i="23"/>
  <c r="I21" i="6" s="1"/>
  <c r="I11" i="23"/>
  <c r="I30" i="6" s="1"/>
  <c r="I27" i="23"/>
  <c r="I46" i="6" s="1"/>
  <c r="H16" i="23"/>
  <c r="B35" i="6" s="1"/>
  <c r="I5" i="23"/>
  <c r="I24" i="6" s="1"/>
  <c r="H21" i="23"/>
  <c r="B40" i="6" s="1"/>
  <c r="H10" i="23"/>
  <c r="B29" i="6" s="1"/>
  <c r="H26" i="23"/>
  <c r="B45" i="6" s="1"/>
  <c r="H15" i="23"/>
  <c r="B34" i="6" s="1"/>
  <c r="H4" i="23"/>
  <c r="B23" i="6" s="1"/>
  <c r="I20" i="23"/>
  <c r="I39" i="6" s="1"/>
  <c r="H25" i="23"/>
  <c r="B44" i="6" s="1"/>
  <c r="H14" i="23"/>
  <c r="B33" i="6" s="1"/>
  <c r="B48" i="6"/>
  <c r="T26" i="6"/>
  <c r="T43" i="6"/>
  <c r="AE24" i="6"/>
  <c r="AE39" i="6"/>
</calcChain>
</file>

<file path=xl/sharedStrings.xml><?xml version="1.0" encoding="utf-8"?>
<sst xmlns="http://schemas.openxmlformats.org/spreadsheetml/2006/main" count="2732" uniqueCount="1139">
  <si>
    <t>VIONARO H63</t>
  </si>
  <si>
    <t>VIONARO H89</t>
  </si>
  <si>
    <t>VIONARO H121</t>
  </si>
  <si>
    <t>VIONARO H185</t>
  </si>
  <si>
    <t>Fronthöhe max.</t>
  </si>
  <si>
    <t>Pos. 1</t>
  </si>
  <si>
    <t>H89</t>
  </si>
  <si>
    <t>H185</t>
  </si>
  <si>
    <t>INNENSCHUBKASTEN HÖHE</t>
  </si>
  <si>
    <t>E.</t>
  </si>
  <si>
    <t>F.</t>
  </si>
  <si>
    <t>Pos. 2</t>
  </si>
  <si>
    <t>Pos. 3</t>
  </si>
  <si>
    <t>Pos. 4</t>
  </si>
  <si>
    <t>Bohrhöhe (Bohrhöhe Innenlade)</t>
  </si>
  <si>
    <t>A</t>
  </si>
  <si>
    <t>B</t>
  </si>
  <si>
    <t>C</t>
  </si>
  <si>
    <t>D</t>
  </si>
  <si>
    <t>DE</t>
  </si>
  <si>
    <t>EN</t>
  </si>
  <si>
    <t>IT</t>
  </si>
  <si>
    <t>FR</t>
  </si>
  <si>
    <t>ES</t>
  </si>
  <si>
    <t>SV</t>
  </si>
  <si>
    <t>RU</t>
  </si>
  <si>
    <t>TR</t>
  </si>
  <si>
    <t>Legend</t>
  </si>
  <si>
    <t>Delik Delme Yüksekliği (Delik delme Yüksekliği İç çekmece)</t>
  </si>
  <si>
    <t>Lejant</t>
  </si>
  <si>
    <t>Cephe</t>
  </si>
  <si>
    <t>1. Gövde Malzeme Kalınlığı</t>
  </si>
  <si>
    <t>Distance bottom to boring line (Distance bottom to boring line Inset drawer)</t>
  </si>
  <si>
    <t>1. Tjocklek skåpsida</t>
  </si>
  <si>
    <t>Innerhöjd skåp</t>
  </si>
  <si>
    <t>Front</t>
  </si>
  <si>
    <t>Förklaring</t>
  </si>
  <si>
    <t>Legenda</t>
  </si>
  <si>
    <t>Panel frontal</t>
  </si>
  <si>
    <t>Hauteur intérieur de caisson</t>
  </si>
  <si>
    <r>
      <t>Hauteur de per</t>
    </r>
    <r>
      <rPr>
        <sz val="11"/>
        <color theme="1"/>
        <rFont val="Calibri"/>
        <family val="2"/>
      </rPr>
      <t>ç</t>
    </r>
    <r>
      <rPr>
        <sz val="11"/>
        <color theme="1"/>
        <rFont val="Calibri"/>
        <family val="2"/>
        <scheme val="minor"/>
      </rPr>
      <t>age (hauteur de percage tiroir intérieur)</t>
    </r>
  </si>
  <si>
    <t>Légende</t>
  </si>
  <si>
    <r>
      <t>Jeux entre fa</t>
    </r>
    <r>
      <rPr>
        <sz val="11"/>
        <color theme="1"/>
        <rFont val="Calibri"/>
        <family val="2"/>
      </rPr>
      <t>ç</t>
    </r>
    <r>
      <rPr>
        <sz val="11"/>
        <color theme="1"/>
        <rFont val="Calibri"/>
        <family val="2"/>
        <scheme val="minor"/>
      </rPr>
      <t>ade</t>
    </r>
  </si>
  <si>
    <t>1. Толщина боковой стенки</t>
  </si>
  <si>
    <t>Внутренняя высота</t>
  </si>
  <si>
    <t>Легенда</t>
  </si>
  <si>
    <t>Фасад</t>
  </si>
  <si>
    <t>2. Размер высоты</t>
  </si>
  <si>
    <t>Высота сверления (высота сверления внутренней шины)</t>
  </si>
  <si>
    <t>Altezza interna mobile</t>
  </si>
  <si>
    <t>Pannello Frontale</t>
  </si>
  <si>
    <t>Distanza foratura dal fondo  (Distanza foratura dal fondo cassetto interno)</t>
  </si>
  <si>
    <t>Language:</t>
  </si>
  <si>
    <t>Höhe Innenlichte</t>
  </si>
  <si>
    <t>Legende</t>
  </si>
  <si>
    <t>Alle Maße in Millimeter</t>
  </si>
  <si>
    <t>All dimensions in millimetres</t>
  </si>
  <si>
    <t>Toutes les mesures en millimètres</t>
  </si>
  <si>
    <t>Tutte le misure sono in millimetri</t>
  </si>
  <si>
    <t>Todas las medidas en milímetros</t>
  </si>
  <si>
    <t>Alla mått i millimeter</t>
  </si>
  <si>
    <t>Все размеры в миллиметрах</t>
  </si>
  <si>
    <t>Mindesttiefe</t>
  </si>
  <si>
    <t xml:space="preserve"> </t>
  </si>
  <si>
    <t>Schubkaste</t>
  </si>
  <si>
    <t>Innenschubkaste</t>
  </si>
  <si>
    <t>VIONARO H249</t>
  </si>
  <si>
    <t>Aluminium Natur</t>
  </si>
  <si>
    <t>Silver grey</t>
  </si>
  <si>
    <t>Graphit</t>
  </si>
  <si>
    <t>Snow white</t>
  </si>
  <si>
    <t>Golden brown</t>
  </si>
  <si>
    <t>Vionaro Aluminium Zarge H63</t>
  </si>
  <si>
    <t>F135124624201</t>
  </si>
  <si>
    <t>D5102/450/NV/AL/.   148/ZS/005</t>
  </si>
  <si>
    <t>NL450 natur Set VE5</t>
  </si>
  <si>
    <t>F135124630201</t>
  </si>
  <si>
    <t>D5102/500/NV/AL/.   148/ZS/005</t>
  </si>
  <si>
    <t>NL500 natur Set VE5</t>
  </si>
  <si>
    <t>F135124636201</t>
  </si>
  <si>
    <t>D5102/550/NV/AL/.   259/ZS/005</t>
  </si>
  <si>
    <t>NL550 natur Set VE5</t>
  </si>
  <si>
    <t>F135124874201</t>
  </si>
  <si>
    <t>D5102/450/NV/AL/.   259/ZS/005</t>
  </si>
  <si>
    <t>NL450 silver grey Set VE1/5</t>
  </si>
  <si>
    <t>F135124880201</t>
  </si>
  <si>
    <t>D5102/500/NV/AL/.   259/ZS/005</t>
  </si>
  <si>
    <t>NL500 silver grey Set VE1/5</t>
  </si>
  <si>
    <t>F135124886201</t>
  </si>
  <si>
    <t>NL550 silver grey Set VE1/5</t>
  </si>
  <si>
    <t>F135106024201</t>
  </si>
  <si>
    <t>D5102/450/NV/AL/.   260/ZS/005</t>
  </si>
  <si>
    <t>NL450 graphit Set VE1/5</t>
  </si>
  <si>
    <t>F135106030201</t>
  </si>
  <si>
    <t>D5102/500/NV/AL/.   260/ZS/005</t>
  </si>
  <si>
    <t>NL500 graphit Set VE1/5</t>
  </si>
  <si>
    <t>F135106036201</t>
  </si>
  <si>
    <t>D5102/550/NV/AL/.   260/ZS/005</t>
  </si>
  <si>
    <t>NL550 graphit Set VE1/5</t>
  </si>
  <si>
    <t>F135106224201</t>
  </si>
  <si>
    <t>D5102/450/NV/AL/.   261/ZS/005</t>
  </si>
  <si>
    <t>NL450 snow white Set VE1/5</t>
  </si>
  <si>
    <t>F135106230201</t>
  </si>
  <si>
    <t>D5102/500/NV/AL/.   261/ZS/005</t>
  </si>
  <si>
    <t>NL500 snow white Set VE1/5</t>
  </si>
  <si>
    <t>F135106236201</t>
  </si>
  <si>
    <t>D5102/550/NV/AL/.   261/ZS/005</t>
  </si>
  <si>
    <t>NL550 snow white Set VE1/5</t>
  </si>
  <si>
    <t>Vionaro Aluminium Zarge H89</t>
  </si>
  <si>
    <t>F135118357201</t>
  </si>
  <si>
    <t>D520 /270/NV/AL/.   148/ZS/005</t>
  </si>
  <si>
    <t>NL270 natur Set VE5</t>
  </si>
  <si>
    <t>F135118360201</t>
  </si>
  <si>
    <t>D520 /300/NV/AL/.   148/ZS/005</t>
  </si>
  <si>
    <t>NL300 natur Set VE5</t>
  </si>
  <si>
    <t>F135118366201</t>
  </si>
  <si>
    <t>D520 /350/NV/AL/.   148/ZS/005</t>
  </si>
  <si>
    <t>NL350 natur Set VE5</t>
  </si>
  <si>
    <t>F135118372201</t>
  </si>
  <si>
    <t>D520 /400/NV/AL/.   148/ZS/005</t>
  </si>
  <si>
    <t>NL400 natur Set VE5</t>
  </si>
  <si>
    <t>F135118378201</t>
  </si>
  <si>
    <t>D520 /450/NV/AL/.   148/ZS/005</t>
  </si>
  <si>
    <t>F135118384201</t>
  </si>
  <si>
    <t>D520 /500/NV/AL/.   148/ZS/005</t>
  </si>
  <si>
    <t>F135118390201</t>
  </si>
  <si>
    <t>D520 /550/NV/AL/.   148/ZS/005</t>
  </si>
  <si>
    <t>F135118396201</t>
  </si>
  <si>
    <t>D520 /600/NV/AL/.   148/ZS/005</t>
  </si>
  <si>
    <t>NL600 natur Set VE5</t>
  </si>
  <si>
    <t>F135118399201</t>
  </si>
  <si>
    <t>D520 /650/NV/AL/.   148/ZS/005</t>
  </si>
  <si>
    <t>NL650 natur Set VE5</t>
  </si>
  <si>
    <t>Vionaro Stahl Zarge H89</t>
  </si>
  <si>
    <t>F135119057201</t>
  </si>
  <si>
    <t>D420 /270/NV/ST/.   259/ZS/005</t>
  </si>
  <si>
    <t>NL270 silver grey  Set VE1/5</t>
  </si>
  <si>
    <t>F135119060201</t>
  </si>
  <si>
    <t>D420 /300/NV/ST/.   259/ZS/005</t>
  </si>
  <si>
    <t>NL300 silver grey  Set VE1/5</t>
  </si>
  <si>
    <t>F135119066201</t>
  </si>
  <si>
    <t>D420 /350/NV/ST/.   259/ZS/005</t>
  </si>
  <si>
    <t>NL350 silver grey  Set VE1/5</t>
  </si>
  <si>
    <t>F135119072201</t>
  </si>
  <si>
    <t>D420 /400/NV/ST/.   259/ZS/005</t>
  </si>
  <si>
    <t>NL400 silver grey  Set VE1/5</t>
  </si>
  <si>
    <t>F135119078201</t>
  </si>
  <si>
    <t>D420 /450/NV/ST/.   259/ZS/005</t>
  </si>
  <si>
    <t>NL450 silver grey  Set VE1/5</t>
  </si>
  <si>
    <t>F135119084201</t>
  </si>
  <si>
    <t>D420 /500/NV/ST/.   259/ZS/005</t>
  </si>
  <si>
    <t>NL500 silver grey  Set VE1/5</t>
  </si>
  <si>
    <t>F135119090201</t>
  </si>
  <si>
    <t>D420 /550/NV/ST/.   259/ZS/005</t>
  </si>
  <si>
    <t>NL550 silver grey  Set VE1/5</t>
  </si>
  <si>
    <t>F135119096201</t>
  </si>
  <si>
    <t>D420 /600/NV/ST/.   259/ZS/005</t>
  </si>
  <si>
    <t>NL600 silver grey  Set VE1/5</t>
  </si>
  <si>
    <t>F135119099201</t>
  </si>
  <si>
    <t>D420 /650/NV/ST/.   259/ZS/005</t>
  </si>
  <si>
    <t>NL650 silver grey  Set VE1/5</t>
  </si>
  <si>
    <t>F135119303201</t>
  </si>
  <si>
    <t>D420 /270/NV/ST/.   260/ZS/005</t>
  </si>
  <si>
    <t>NL270 graphit  Set VE1/5</t>
  </si>
  <si>
    <t>F135119306201</t>
  </si>
  <si>
    <t>D420 /300/NV/ST/.   260/ZS/005</t>
  </si>
  <si>
    <t>NL300 graphit  Set VE1/5</t>
  </si>
  <si>
    <t>F135119312201</t>
  </si>
  <si>
    <t>D420 /350/NV/ST/.   260/ZS/005</t>
  </si>
  <si>
    <t>NL350 graphit  Set VE1/5</t>
  </si>
  <si>
    <t>F135119318201</t>
  </si>
  <si>
    <t>D420 /400/NV/ST/.   260/ZS/005</t>
  </si>
  <si>
    <t>NL400 graphit  Set VE1/5</t>
  </si>
  <si>
    <t>F135119324201</t>
  </si>
  <si>
    <t>D420 /450/NV/ST/.   260/ZS/005</t>
  </si>
  <si>
    <t>NL450 graphit  Set VE1/5</t>
  </si>
  <si>
    <t>F135119333201</t>
  </si>
  <si>
    <t>D420 /500/NV/ST/.   260/ZS/005</t>
  </si>
  <si>
    <t>NL500 graphit  Set VE1/5</t>
  </si>
  <si>
    <t>F135119342201</t>
  </si>
  <si>
    <t>D420 /550/NV/ST/.   260/ZS/005</t>
  </si>
  <si>
    <t>NL550 graphit  Set VE1/5</t>
  </si>
  <si>
    <t>F135119351201</t>
  </si>
  <si>
    <t>D420 /600/NV/ST/.   260/ZS/005</t>
  </si>
  <si>
    <t>NL600 graphit  Set VE1/5</t>
  </si>
  <si>
    <t>F135119400201</t>
  </si>
  <si>
    <t>D420 /650/NV/ST/.   260/ZS/005</t>
  </si>
  <si>
    <t>NL650 graphit  Set VE1/5</t>
  </si>
  <si>
    <t>F135120603201</t>
  </si>
  <si>
    <t>D420 /270/NV/ST/.   261/ZS/005</t>
  </si>
  <si>
    <t>NL270 snow white  Set VE1/5</t>
  </si>
  <si>
    <t>F135120606201</t>
  </si>
  <si>
    <t>D420 /300/NV/ST/.   261/ZS/005</t>
  </si>
  <si>
    <t>NL300 snow white  Set VE1/5</t>
  </si>
  <si>
    <t>F135120612201</t>
  </si>
  <si>
    <t>D420 /350/NV/ST/.   261/ZS/005</t>
  </si>
  <si>
    <t>NL350 snow white  Set VE1/5</t>
  </si>
  <si>
    <t>F135120618201</t>
  </si>
  <si>
    <t>D420 /400/NV/ST/.   261/ZS/005</t>
  </si>
  <si>
    <t>NL400 snow white  Set VE1/5</t>
  </si>
  <si>
    <t>F135120624201</t>
  </si>
  <si>
    <t>D420 /450/NV/ST/.   261/ZS/005</t>
  </si>
  <si>
    <t>NL450 snow white  Set VE1/5</t>
  </si>
  <si>
    <t>F135120633201</t>
  </si>
  <si>
    <t>D420 /500/NV/ST/.   261/ZS/005</t>
  </si>
  <si>
    <t>NL500 snow white  Set VE1/5</t>
  </si>
  <si>
    <t>F135120642201</t>
  </si>
  <si>
    <t>D420 /550/NV/ST/.   261/ZS/005</t>
  </si>
  <si>
    <t>NL550 snow white  Set VE1/5</t>
  </si>
  <si>
    <t>F135120651201</t>
  </si>
  <si>
    <t>D420 /600/NV/ST/.   261/ZS/005</t>
  </si>
  <si>
    <t>NL600 snow white  Set VE1/5</t>
  </si>
  <si>
    <t>F135120654201</t>
  </si>
  <si>
    <t>D420 /650/NV/ST/.   261/ZS/005</t>
  </si>
  <si>
    <t>NL650 snow white  Set VE1/5</t>
  </si>
  <si>
    <t>Vionaro Stahl Zarge H121</t>
  </si>
  <si>
    <t>F135124112201</t>
  </si>
  <si>
    <t>D430 /350/NV/ST/.   259/ZS/005</t>
  </si>
  <si>
    <t>F135124118201</t>
  </si>
  <si>
    <t>D430 /400/NV/ST/.   259/ZS/005</t>
  </si>
  <si>
    <t>F135124124201</t>
  </si>
  <si>
    <t>D430 /450/NV/ST/.   259/ZS/005</t>
  </si>
  <si>
    <t>F135124130201</t>
  </si>
  <si>
    <t>D430 /500/NV/ST/.   259/ZS/005</t>
  </si>
  <si>
    <t>F135124136201</t>
  </si>
  <si>
    <t>D430 /550/NV/ST/.   259/ZS/005</t>
  </si>
  <si>
    <t>F135124212201</t>
  </si>
  <si>
    <t>D430 /350/NV/ST/.   260/ZS/005</t>
  </si>
  <si>
    <t>NL350 graphit Set VE1/5</t>
  </si>
  <si>
    <t>F135124218201</t>
  </si>
  <si>
    <t>D430 /400/NV/ST/.   260/ZS/005</t>
  </si>
  <si>
    <t>NL400 graphit Set VE1/5</t>
  </si>
  <si>
    <t>F135124224201</t>
  </si>
  <si>
    <t>D430 /450/NV/ST/.   260/ZS/005</t>
  </si>
  <si>
    <t>F135124230201</t>
  </si>
  <si>
    <t>D430 /500/NV/ST/.   260/ZS/005</t>
  </si>
  <si>
    <t>F135124236201</t>
  </si>
  <si>
    <t>D430 /550/NV/ST/.   260/ZS/005</t>
  </si>
  <si>
    <t>F135124312201</t>
  </si>
  <si>
    <t>D430 /350/NV/ST/.   261/ZS/005</t>
  </si>
  <si>
    <t>NL350 snow white Set VE1/5</t>
  </si>
  <si>
    <t>F135124318201</t>
  </si>
  <si>
    <t>D430 /400/NV/ST/.   261/ZS/005</t>
  </si>
  <si>
    <t>NL400 snow white Set VE1/5</t>
  </si>
  <si>
    <t>F135124324201</t>
  </si>
  <si>
    <t>D430 /450/NV/ST/.   261/ZS/005</t>
  </si>
  <si>
    <t>F135124330201</t>
  </si>
  <si>
    <t>D430 /500/NV/ST/.   261/ZS/005</t>
  </si>
  <si>
    <t>F135124336201</t>
  </si>
  <si>
    <t>D430 /550/NV/ST/.   261/ZS/005</t>
  </si>
  <si>
    <t>Vionaro Aluminium Zarge H185</t>
  </si>
  <si>
    <t>F135118503201</t>
  </si>
  <si>
    <t>D550 /270/NV/AL/.   148/ZS/005</t>
  </si>
  <si>
    <t>F135118506201</t>
  </si>
  <si>
    <t>D550 /300/NV/AL/.   148/ZS/005</t>
  </si>
  <si>
    <t>F135118512201</t>
  </si>
  <si>
    <t>D550 /350/NV/AL/.   148/ZS/005</t>
  </si>
  <si>
    <t>F135118518201</t>
  </si>
  <si>
    <t>D550 /400/NV/AL/.   148/ZS/005</t>
  </si>
  <si>
    <t>F135118524201</t>
  </si>
  <si>
    <t>D550 /450/NV/AL/.   148/ZS/005</t>
  </si>
  <si>
    <t>F135118530201</t>
  </si>
  <si>
    <t>D550 /500/NV/AL/.   148/ZS/005</t>
  </si>
  <si>
    <t>F135118536201</t>
  </si>
  <si>
    <t>D550 /550/NV/AL/.   148/ZS/005</t>
  </si>
  <si>
    <t>F135118542201</t>
  </si>
  <si>
    <t>D550 /600/NV/AL/.   148/ZS/005</t>
  </si>
  <si>
    <t>F135118545201</t>
  </si>
  <si>
    <t>D550 /650/NV/AL/.   148/ZS/005</t>
  </si>
  <si>
    <t>Vionaro Stahl Zarge H185</t>
  </si>
  <si>
    <t>F135119203201</t>
  </si>
  <si>
    <t>D450 /270/NV/ST/.   259/ZS/005</t>
  </si>
  <si>
    <t>F135119206201</t>
  </si>
  <si>
    <t>D450 /300/NV/ST/.   259/ZS/005</t>
  </si>
  <si>
    <t>F135119212201</t>
  </si>
  <si>
    <t>D450 /350/NV/ST/.   259/ZS/005</t>
  </si>
  <si>
    <t>F135119218201</t>
  </si>
  <si>
    <t>D450 /400/NV/ST/.   259/ZS/005</t>
  </si>
  <si>
    <t>F135119224201</t>
  </si>
  <si>
    <t>D450 /450/NV/ST/.   259/ZS/005</t>
  </si>
  <si>
    <t>F135119230201</t>
  </si>
  <si>
    <t>D450 /500/NV/ST/.   259/ZS/005</t>
  </si>
  <si>
    <t>F135119236201</t>
  </si>
  <si>
    <t>D450 /550/NV/ST/.   259/ZS/005</t>
  </si>
  <si>
    <t>F135119242201</t>
  </si>
  <si>
    <t>D450 /600/NV/ST/.   259/ZS/005</t>
  </si>
  <si>
    <t>F135119245201</t>
  </si>
  <si>
    <t>D450 /650/NV/ST/.   259/ZS/005</t>
  </si>
  <si>
    <t>F135119412201</t>
  </si>
  <si>
    <t>D450 /270/NV/ST/.   260/ZS/005</t>
  </si>
  <si>
    <t>F135119415201</t>
  </si>
  <si>
    <t>D450 /300/NV/ST/.   260/ZS/005</t>
  </si>
  <si>
    <t>F135119421201</t>
  </si>
  <si>
    <t>D450 /350/NV/ST/.   260/ZS/005</t>
  </si>
  <si>
    <t>F135119427201</t>
  </si>
  <si>
    <t>D450 /400/NV/ST/.   260/ZS/005</t>
  </si>
  <si>
    <t>F135119433201</t>
  </si>
  <si>
    <t>D450 /450/NV/ST/.   260/ZS/005</t>
  </si>
  <si>
    <t>F135119442201</t>
  </si>
  <si>
    <t>D450 /500/NV/ST/.   260/ZS/005</t>
  </si>
  <si>
    <t>F135119451201</t>
  </si>
  <si>
    <t>D450 /550/NV/ST/.   260/ZS/005</t>
  </si>
  <si>
    <t>F135119460201</t>
  </si>
  <si>
    <t>D450 /600/NV/ST/.   260/ZS/005</t>
  </si>
  <si>
    <t>F135119463201</t>
  </si>
  <si>
    <t>D450 /650/NV/ST/.   260/ZS/005</t>
  </si>
  <si>
    <t>F135120803201</t>
  </si>
  <si>
    <t>D450 /270/NV/ST/.   261/ZS/005</t>
  </si>
  <si>
    <t>F135120806201</t>
  </si>
  <si>
    <t>D450 /300/NV/ST/.   261/ZS/005</t>
  </si>
  <si>
    <t>F135120812201</t>
  </si>
  <si>
    <t>D450 /350/NV/ST/.   261/ZS/005</t>
  </si>
  <si>
    <t>F135120818201</t>
  </si>
  <si>
    <t>D450 /400/NV/ST/.   261/ZS/005</t>
  </si>
  <si>
    <t>F135120824201</t>
  </si>
  <si>
    <t>D450 /450/NV/ST/.   261/ZS/005</t>
  </si>
  <si>
    <t>F135120833201</t>
  </si>
  <si>
    <t>D450 /500/NV/ST/.   261/ZS/005</t>
  </si>
  <si>
    <t>F135120842201</t>
  </si>
  <si>
    <t>D450 /550/NV/ST/.   261/ZS/005</t>
  </si>
  <si>
    <t>F135120851201</t>
  </si>
  <si>
    <t>D450 /600/NV/ST/.   261/ZS/005</t>
  </si>
  <si>
    <t>F135120854201</t>
  </si>
  <si>
    <t>D450 /650/NV/ST/.   261/ZS/005</t>
  </si>
  <si>
    <t>D620 /1200/FS /.   .  148/ 010</t>
  </si>
  <si>
    <t>Vionaro Innenblende H89</t>
  </si>
  <si>
    <t>F136120395507</t>
  </si>
  <si>
    <t>1160 natur zum Ablängen VE1/10</t>
  </si>
  <si>
    <t>D620 /1200/FS /.   .  259/ 010</t>
  </si>
  <si>
    <t>F136122619507</t>
  </si>
  <si>
    <t>1160 silver grey Abläng.VE1/10</t>
  </si>
  <si>
    <t>D620 /1200/FS /.   .  260/ 010</t>
  </si>
  <si>
    <t>F136120538507</t>
  </si>
  <si>
    <t>1160 graphit z. Abläng. VE1/10</t>
  </si>
  <si>
    <t>D620 /1200/FS /.   .  261/ 010</t>
  </si>
  <si>
    <t>F136120569507</t>
  </si>
  <si>
    <t>1160 snow white Abläng. VE1/10</t>
  </si>
  <si>
    <t>D650 /1200/FS /.   .  148/ 010</t>
  </si>
  <si>
    <t>Vionaro Innenblende H185</t>
  </si>
  <si>
    <t>F136120420507</t>
  </si>
  <si>
    <t>D650 /1200/FS /.   .  259/ 010</t>
  </si>
  <si>
    <t>F136122669507</t>
  </si>
  <si>
    <t>1160 silver grey Abläng. VE1/10</t>
  </si>
  <si>
    <t>D650 /1200/FS /.   .  260/ 010</t>
  </si>
  <si>
    <t>F136120539507</t>
  </si>
  <si>
    <t>D650 /1200/FS /.   .  261/ 010</t>
  </si>
  <si>
    <t>F136120589507</t>
  </si>
  <si>
    <t>F136101003517</t>
  </si>
  <si>
    <t>D601 /ANSCHRAUBS/H63/148 /  50</t>
  </si>
  <si>
    <t>Vionaro Zubehör-Set H63</t>
  </si>
  <si>
    <t>Aluminium z. Anschrauben VPE50</t>
  </si>
  <si>
    <t>F136101004517</t>
  </si>
  <si>
    <t>D601 /ANSCHRAUBS/H63/260 /  50</t>
  </si>
  <si>
    <t>Graphit z. Anschrauben VPE50</t>
  </si>
  <si>
    <t>F136101005517</t>
  </si>
  <si>
    <t>D601 /ANSCHRAUBS/H63/261 /  50</t>
  </si>
  <si>
    <t>Snow white z. Anschr. VPE50</t>
  </si>
  <si>
    <t>F136100121517</t>
  </si>
  <si>
    <t>D601 /ANSCHRAUBS/H89/148 /  50</t>
  </si>
  <si>
    <t>Vionaro Zubehör-Set H89</t>
  </si>
  <si>
    <t>Silver grey z. Anschr. VPE 50</t>
  </si>
  <si>
    <t>F136100122517</t>
  </si>
  <si>
    <t>D601 /SPREIZD-SET/H89/148/  50</t>
  </si>
  <si>
    <t>Silver grey Spreizdübel VPE 50</t>
  </si>
  <si>
    <t>F136100123517</t>
  </si>
  <si>
    <t>D601 /ANSCHRAUBS/H89/260 /  50</t>
  </si>
  <si>
    <t>Graphit z. Anschr. VPE 50</t>
  </si>
  <si>
    <t>F136100124517</t>
  </si>
  <si>
    <t>D601 /SPREIZD-SET/H89/260/  50</t>
  </si>
  <si>
    <t>Graphit Spreizdübel VPE 50</t>
  </si>
  <si>
    <t>F136100125517</t>
  </si>
  <si>
    <t>D601 /ANSCHRAUBS/H89/261 /  50</t>
  </si>
  <si>
    <t>Snow white z. Anschr. VPE 50</t>
  </si>
  <si>
    <t>F136100126517</t>
  </si>
  <si>
    <t>D601 /SPREIZD-SET/H89/261/  50</t>
  </si>
  <si>
    <t>Snow white Spreizdübel VPE 50</t>
  </si>
  <si>
    <t>F136100310517</t>
  </si>
  <si>
    <t>D601 /ANSCHRAUBS/H185/148/  50</t>
  </si>
  <si>
    <t>Vionaro Zubehör-Set H185</t>
  </si>
  <si>
    <t>F136100311517</t>
  </si>
  <si>
    <t>D601 /SPREIZDSET/H185/148/  50</t>
  </si>
  <si>
    <t>F136100312517</t>
  </si>
  <si>
    <t>D601 /ANSCHRAUBS/H185/260/  50</t>
  </si>
  <si>
    <t>F136100313517</t>
  </si>
  <si>
    <t>D601 /SPREIZDSET/H185/260/  50</t>
  </si>
  <si>
    <t>F136100314517</t>
  </si>
  <si>
    <t>D601 /ANSCHRAUBS/H185/261/  50</t>
  </si>
  <si>
    <t>F136100315517</t>
  </si>
  <si>
    <t>D601 /SPREIZDSET/H185/261/  50</t>
  </si>
  <si>
    <t>F136100277517</t>
  </si>
  <si>
    <t>D601 /INNENBLSET/H89/259 /  50</t>
  </si>
  <si>
    <t>Vionaro Zubehör-Set Innenbl.</t>
  </si>
  <si>
    <t>Silver grey H89 VPE 50</t>
  </si>
  <si>
    <t>F136100278517</t>
  </si>
  <si>
    <t>D601 /INNENBLSET/H89/260 /  50</t>
  </si>
  <si>
    <t>Graphit H89 VPE 50</t>
  </si>
  <si>
    <t>F136100279517</t>
  </si>
  <si>
    <t>D601 /INNENBLSET/H89/261 /  50</t>
  </si>
  <si>
    <t>Snow white H89 VPE 50</t>
  </si>
  <si>
    <t>F136100318517</t>
  </si>
  <si>
    <t>D601 /INNENBLSET/H185/148/  50</t>
  </si>
  <si>
    <t>Silver grey H185 VPE 50</t>
  </si>
  <si>
    <t>F136100319517</t>
  </si>
  <si>
    <t>D601 /INNENBLSET/H185/260/  50</t>
  </si>
  <si>
    <t>Graphit H185 VPE 50</t>
  </si>
  <si>
    <t>F136100320517</t>
  </si>
  <si>
    <t>D601 /INNENBLSET/H185/261/  50</t>
  </si>
  <si>
    <t>Snow white H185 VPE 50</t>
  </si>
  <si>
    <t>GRASS Artikeln. 1</t>
  </si>
  <si>
    <t>GRASS Artikeln. 2</t>
  </si>
  <si>
    <t>Bezeischnung 1</t>
  </si>
  <si>
    <t>Bezeischnung 2</t>
  </si>
  <si>
    <t>Bezeischnung 3</t>
  </si>
  <si>
    <t>Höhe</t>
  </si>
  <si>
    <t>Tiefe</t>
  </si>
  <si>
    <t>Farbe</t>
  </si>
  <si>
    <t>Zargen</t>
  </si>
  <si>
    <t>Innenblende</t>
  </si>
  <si>
    <t>Befestigung</t>
  </si>
  <si>
    <t>Typ 1</t>
  </si>
  <si>
    <t>Typ 2</t>
  </si>
  <si>
    <t>Anschrauben</t>
  </si>
  <si>
    <r>
      <t xml:space="preserve">Spreizdübel </t>
    </r>
    <r>
      <rPr>
        <sz val="11"/>
        <color theme="1"/>
        <rFont val="Calibri"/>
        <family val="2"/>
      </rPr>
      <t>Ø 8 mm</t>
    </r>
  </si>
  <si>
    <t>Spreizdübel Ø 8 mm</t>
  </si>
  <si>
    <t>ZARGEN</t>
  </si>
  <si>
    <t>CODE</t>
  </si>
  <si>
    <t>Führung</t>
  </si>
  <si>
    <t>F130116015</t>
  </si>
  <si>
    <t>F130116016</t>
  </si>
  <si>
    <t>F130116018</t>
  </si>
  <si>
    <t>F130116020</t>
  </si>
  <si>
    <t>F130116022</t>
  </si>
  <si>
    <t>F130116024</t>
  </si>
  <si>
    <t>F130116026</t>
  </si>
  <si>
    <t>F130117116</t>
  </si>
  <si>
    <t>F130116927</t>
  </si>
  <si>
    <t>F130116930</t>
  </si>
  <si>
    <t>F130116936</t>
  </si>
  <si>
    <t>F130116942</t>
  </si>
  <si>
    <t>F130116945</t>
  </si>
  <si>
    <t>F130117459</t>
  </si>
  <si>
    <t>F130117460</t>
  </si>
  <si>
    <t>F130117462</t>
  </si>
  <si>
    <t>F130117463</t>
  </si>
  <si>
    <t>F130117465</t>
  </si>
  <si>
    <t>F130117467</t>
  </si>
  <si>
    <t>F130117468</t>
  </si>
  <si>
    <t>F130117470</t>
  </si>
  <si>
    <t>F130117471</t>
  </si>
  <si>
    <t>F130117472</t>
  </si>
  <si>
    <t>F130116941</t>
  </si>
  <si>
    <t>F130117474</t>
  </si>
  <si>
    <t>Artikelnummer</t>
  </si>
  <si>
    <t>Bezeichnung</t>
  </si>
  <si>
    <t>Stück</t>
  </si>
  <si>
    <t>Breite</t>
  </si>
  <si>
    <t>Bezeichnung 1</t>
  </si>
  <si>
    <t>Bezeichnung 2</t>
  </si>
  <si>
    <t>Artikelnummern</t>
  </si>
  <si>
    <t>F136101003</t>
  </si>
  <si>
    <t>F136100121</t>
  </si>
  <si>
    <t>F136100122</t>
  </si>
  <si>
    <t>F136100310</t>
  </si>
  <si>
    <t>F136100311</t>
  </si>
  <si>
    <t>Dynapro ST LN270 40 3D</t>
  </si>
  <si>
    <t>Dynapro ST LN300 40 3D</t>
  </si>
  <si>
    <t>Dynapro ST LN350 40 3D</t>
  </si>
  <si>
    <t>Dynapro ST LN400 40 3D</t>
  </si>
  <si>
    <t>Dynapro ST LN450 40 3D</t>
  </si>
  <si>
    <t>Dynapro ST LN500 40 3D</t>
  </si>
  <si>
    <t>Dynapro ST LN550 40 3D</t>
  </si>
  <si>
    <t>Dynapro ST LN450 60 3D</t>
  </si>
  <si>
    <t>Dynapro ST LN500 60 3D</t>
  </si>
  <si>
    <t>Dynapro ST LN550 60 3D</t>
  </si>
  <si>
    <t>Dynapro ST LN600 60 3D</t>
  </si>
  <si>
    <t>Dynapro ST LN650 60 3D</t>
  </si>
  <si>
    <t>Dynapro ST LN600 40 3D</t>
  </si>
  <si>
    <t>D514 /400/NS./21/FS/SL/../ 5</t>
  </si>
  <si>
    <t>D514 /450/NS./21/FS/SL/../ 5</t>
  </si>
  <si>
    <t>D514 /500/NS./21/FS/SL/../ 5</t>
  </si>
  <si>
    <t>D514 /550/NS./21/FS/SL/../ 5</t>
  </si>
  <si>
    <t>D516 /500/NS./21/FS/SL/../ 5</t>
  </si>
  <si>
    <t>D516 /550/NS./21/FS/SL/../ 5</t>
  </si>
  <si>
    <t>D516 /600/NS./21/FS/SL/../ 5</t>
  </si>
  <si>
    <t>D516 /650/NS./21/FS/SL/../ 5</t>
  </si>
  <si>
    <t>D516 /600/NS./21/FS/TI/../ 5</t>
  </si>
  <si>
    <t>D514 /600/NS./21/FS/SL/../ 5</t>
  </si>
  <si>
    <t>D514 /270/NS./21/FS/TI/../ 5</t>
  </si>
  <si>
    <t>D514 /300/NS./21/FS/TI/../ 5</t>
  </si>
  <si>
    <t>D514 /350/NS./21/FS/TI/../ 5</t>
  </si>
  <si>
    <t>D514 /400/NS./21/FS/TI/../ 5</t>
  </si>
  <si>
    <t>D514 /450/NS./21/FS/TI/../ 5</t>
  </si>
  <si>
    <t>D514 /500/NS./21/FS/TI/../ 5</t>
  </si>
  <si>
    <t>D514 /550/NS./21/FS/TI/../ 5</t>
  </si>
  <si>
    <t>D516 /450/NS./21/FS/TI/../ 5</t>
  </si>
  <si>
    <t>D516 /500/NS./21/FS/TI/../ 5</t>
  </si>
  <si>
    <t>D516 /550/NS./21/FS/TI/../ 5</t>
  </si>
  <si>
    <t>D516 /650/NS./21/FS/TI/../ 5</t>
  </si>
  <si>
    <t>D514 /270/NS./21/FS/SL/../ 5</t>
  </si>
  <si>
    <t>D514 /300/NS./21/FS/SL/../ 5</t>
  </si>
  <si>
    <t>D514 /350/NS./21/FS/SL/../ 5</t>
  </si>
  <si>
    <t>Schubkasten</t>
  </si>
  <si>
    <t>Keine Innenlade</t>
  </si>
  <si>
    <t>SOFT-CLOSE 40KG</t>
  </si>
  <si>
    <t>SOFT-CLOSE 70KG</t>
  </si>
  <si>
    <t>TIPMATIC 40KG</t>
  </si>
  <si>
    <t>TIPMATIC 60KG</t>
  </si>
  <si>
    <t>NL</t>
  </si>
  <si>
    <t>NL INNEN</t>
  </si>
  <si>
    <t>Soft-Close</t>
  </si>
  <si>
    <t>Tipmatic</t>
  </si>
  <si>
    <t>Rückwande höhe</t>
  </si>
  <si>
    <t>Kospus Breite</t>
  </si>
  <si>
    <t>LWK</t>
  </si>
  <si>
    <t>Länge</t>
  </si>
  <si>
    <t>Dicke</t>
  </si>
  <si>
    <t>F135106674</t>
  </si>
  <si>
    <t>F135106680</t>
  </si>
  <si>
    <t>F135106686</t>
  </si>
  <si>
    <t>F135106692</t>
  </si>
  <si>
    <t>F135106774</t>
  </si>
  <si>
    <t>F135106780</t>
  </si>
  <si>
    <t>F135106786</t>
  </si>
  <si>
    <t>F135106792</t>
  </si>
  <si>
    <t>F135106874</t>
  </si>
  <si>
    <t>F135106880</t>
  </si>
  <si>
    <t>F135106886</t>
  </si>
  <si>
    <t>F135106892</t>
  </si>
  <si>
    <t>F135106974</t>
  </si>
  <si>
    <t>F135106980</t>
  </si>
  <si>
    <t>F135106986</t>
  </si>
  <si>
    <t>F135106992</t>
  </si>
  <si>
    <t>Vionaro Stahl Zarge H249</t>
  </si>
  <si>
    <t>F135123753207</t>
  </si>
  <si>
    <t>D530 /270/NV/AL/.   148/ZS/010</t>
  </si>
  <si>
    <t>Vionaro Aluminium Zarge H121</t>
  </si>
  <si>
    <t>NL270 natur Set VE10</t>
  </si>
  <si>
    <t>F135123756207</t>
  </si>
  <si>
    <t>D530 /300/NV/AL/.   148/ZS/010</t>
  </si>
  <si>
    <t>NL300 natur Set VE10</t>
  </si>
  <si>
    <t>F135123762207</t>
  </si>
  <si>
    <t>D530 /350/NV/AL/.   148/ZS/010</t>
  </si>
  <si>
    <t>NL350 natur Set VE10</t>
  </si>
  <si>
    <t>F135123768207</t>
  </si>
  <si>
    <t>D530 /400/NV/AL/.   148/ZS/010</t>
  </si>
  <si>
    <t>NL400 natur Set VE10</t>
  </si>
  <si>
    <t>F135123774207</t>
  </si>
  <si>
    <t>D530 /450/NV/AL/.   148/ZS/010</t>
  </si>
  <si>
    <t>NL450 natur Set VE10</t>
  </si>
  <si>
    <t>F135123780207</t>
  </si>
  <si>
    <t>D530 /500/NV/AL/.   148/ZS/010</t>
  </si>
  <si>
    <t>NL500 natur Set VE10</t>
  </si>
  <si>
    <t>F135123786207</t>
  </si>
  <si>
    <t>D530 /550/NV/AL/.   148/ZS/010</t>
  </si>
  <si>
    <t>NL550 natur Set VE10</t>
  </si>
  <si>
    <t>F135123792207</t>
  </si>
  <si>
    <t>D530 /600/NV/AL/.   148/ZS/010</t>
  </si>
  <si>
    <t>NL600 natur Set VE10</t>
  </si>
  <si>
    <t>F135123795207</t>
  </si>
  <si>
    <t>D530 /650/NV/AL/.   148/ZS/010</t>
  </si>
  <si>
    <t>NL650 natur Set VE10</t>
  </si>
  <si>
    <t>NL400 Golden brown  Set VE1/5</t>
  </si>
  <si>
    <t>NL450 Golden brown  Set VE1/5</t>
  </si>
  <si>
    <t>NL500 Golden brown  Set VE1/5</t>
  </si>
  <si>
    <t>1160 Golden brown z. Abläng. VE1/10</t>
  </si>
  <si>
    <t>Golden brown z. Anschr. VPE 50</t>
  </si>
  <si>
    <t>Golden brown H89 VPE 50</t>
  </si>
  <si>
    <t>Golden brown H185 VPE 50</t>
  </si>
  <si>
    <t>F136107237517</t>
  </si>
  <si>
    <t>F135120718201</t>
  </si>
  <si>
    <t>F135120724201</t>
  </si>
  <si>
    <t>F135120733201</t>
  </si>
  <si>
    <t>F135120918201</t>
  </si>
  <si>
    <t>F135120924201</t>
  </si>
  <si>
    <t>F135120933201</t>
  </si>
  <si>
    <t>F136107239517</t>
  </si>
  <si>
    <t>F136107241517</t>
  </si>
  <si>
    <t>F136107243517</t>
  </si>
  <si>
    <t>F136122519</t>
  </si>
  <si>
    <t>F136122569</t>
  </si>
  <si>
    <t>Nicht im Programm</t>
  </si>
  <si>
    <t>À visser</t>
  </si>
  <si>
    <t>&gt;&gt;&gt; Sélection coulisses &gt;&gt;&gt;</t>
  </si>
  <si>
    <t>Largeur</t>
  </si>
  <si>
    <t>Hauteur</t>
  </si>
  <si>
    <t>Profondeur</t>
  </si>
  <si>
    <t>Art. N°</t>
  </si>
  <si>
    <t>Désignation 1</t>
  </si>
  <si>
    <t>Désignation 2</t>
  </si>
  <si>
    <t>Quantité</t>
  </si>
  <si>
    <t>Tiroir</t>
  </si>
  <si>
    <t>Pas de tiroir intérieur</t>
  </si>
  <si>
    <t>Longueur</t>
  </si>
  <si>
    <t>Épaisseur</t>
  </si>
  <si>
    <t>Pas au programme</t>
  </si>
  <si>
    <t>Planung vom:</t>
  </si>
  <si>
    <t>Zargenfarbe:</t>
  </si>
  <si>
    <t>Menge</t>
  </si>
  <si>
    <t>&gt;&gt;&gt; Auswahl Führung &gt;&gt;&gt;</t>
  </si>
  <si>
    <t>Korpus Außenmaße:</t>
  </si>
  <si>
    <t>Neu Starten</t>
  </si>
  <si>
    <t>Interior Cabinet Height</t>
  </si>
  <si>
    <t>Screw-on</t>
  </si>
  <si>
    <t>Expanding dowel Ø 8 mm</t>
  </si>
  <si>
    <t>&gt;&gt;&gt; Choice of Drawer slide &gt;&gt;&gt;</t>
  </si>
  <si>
    <t>Cabinet configuration date:</t>
  </si>
  <si>
    <t>Outside Cabinet Width:</t>
  </si>
  <si>
    <t>Width</t>
  </si>
  <si>
    <t>Height</t>
  </si>
  <si>
    <t>Depth</t>
  </si>
  <si>
    <t>Colour of drawer side:</t>
  </si>
  <si>
    <t>Item no.</t>
  </si>
  <si>
    <t>Description 1</t>
  </si>
  <si>
    <t>Description 2</t>
  </si>
  <si>
    <t>Quantity</t>
  </si>
  <si>
    <t>Drawer box</t>
  </si>
  <si>
    <t>No inset drawer</t>
  </si>
  <si>
    <t>Length</t>
  </si>
  <si>
    <t>Thickness</t>
  </si>
  <si>
    <t>not available</t>
  </si>
  <si>
    <t>Restart</t>
  </si>
  <si>
    <t>Altura interna del mueble</t>
  </si>
  <si>
    <t>Distancia del fondo a la linea de taladros (Distancia del fondo a la linea de taladros del cajon interno)</t>
  </si>
  <si>
    <t>Lellenda</t>
  </si>
  <si>
    <t>4. Selección del color</t>
  </si>
  <si>
    <t>Tornillo</t>
  </si>
  <si>
    <t>Anchura</t>
  </si>
  <si>
    <t xml:space="preserve">Altura  </t>
  </si>
  <si>
    <t>Profundidad</t>
  </si>
  <si>
    <t>Numero de articulo</t>
  </si>
  <si>
    <t>Descripcion 1</t>
  </si>
  <si>
    <t>Descripcion 2</t>
  </si>
  <si>
    <t>Cantidad</t>
  </si>
  <si>
    <t>Cajón</t>
  </si>
  <si>
    <t>Sin cajón interior</t>
  </si>
  <si>
    <t>Longitud</t>
  </si>
  <si>
    <t>Espesor</t>
  </si>
  <si>
    <t>No posible</t>
  </si>
  <si>
    <t>Empezar de nuevo</t>
  </si>
  <si>
    <t>2. Anchura del mueble</t>
  </si>
  <si>
    <t>3. Profundidad interior del mueble</t>
  </si>
  <si>
    <t>10. Longitud del cajón</t>
  </si>
  <si>
    <t>2. Skåpets bredd</t>
  </si>
  <si>
    <t>Avstånd från botten till hålrad (avstånd från botten till infästning för innerlåda)</t>
  </si>
  <si>
    <t>4. Färgval</t>
  </si>
  <si>
    <t>10.  Lådans djup</t>
  </si>
  <si>
    <t>Skruvning</t>
  </si>
  <si>
    <t>&gt;&gt;&gt; val av lådskena &gt;&gt;&gt;</t>
  </si>
  <si>
    <t>Bredd</t>
  </si>
  <si>
    <t>Höjd</t>
  </si>
  <si>
    <t>Djup</t>
  </si>
  <si>
    <t>Artikel nummer</t>
  </si>
  <si>
    <t>Beskrivning 1</t>
  </si>
  <si>
    <t>Beskrivning 2</t>
  </si>
  <si>
    <t>Antal</t>
  </si>
  <si>
    <t>Låda</t>
  </si>
  <si>
    <t>12. Typ av skena för innerlåda</t>
  </si>
  <si>
    <t>Ingen innerlåda</t>
  </si>
  <si>
    <t>Längd</t>
  </si>
  <si>
    <t>Tjocklek</t>
  </si>
  <si>
    <t>Ej tillgängligt</t>
  </si>
  <si>
    <t>Starta på nytt</t>
  </si>
  <si>
    <t>3. Skåpets innerdjup</t>
  </si>
  <si>
    <t>Taco expandible de 8 mm</t>
  </si>
  <si>
    <t>Expanderande plugg Ø 8 mm</t>
  </si>
  <si>
    <t>Configuration du:</t>
  </si>
  <si>
    <t>Dimensions extérieures:</t>
  </si>
  <si>
    <t>Couleur du tiroir:</t>
  </si>
  <si>
    <t>6. Altura del mueble</t>
  </si>
  <si>
    <t>&gt;&gt;&gt; Selección de la guía &gt;&gt;&gt;</t>
  </si>
  <si>
    <t>Fecha de la configuración:</t>
  </si>
  <si>
    <t>Ancho exterior del mueble:</t>
  </si>
  <si>
    <t>Color del cajón:</t>
  </si>
  <si>
    <t>12. Tipo de guía para cajón interior</t>
  </si>
  <si>
    <t>6. Höjdmått</t>
  </si>
  <si>
    <t>6. Misura in altezza</t>
  </si>
  <si>
    <t>10. Lunghezza cassetto</t>
  </si>
  <si>
    <t>Avvitare</t>
  </si>
  <si>
    <t>Bussola ad espansione Ø 8 mm</t>
  </si>
  <si>
    <t>&gt;&gt;&gt; Scelta della guida &gt;&gt;&gt;</t>
  </si>
  <si>
    <t>Larghezza</t>
  </si>
  <si>
    <t xml:space="preserve">Altezza </t>
  </si>
  <si>
    <t>Profondità</t>
  </si>
  <si>
    <t>Colre del cassetto:</t>
  </si>
  <si>
    <t>Descrizione 1</t>
  </si>
  <si>
    <t>Descrizione 2</t>
  </si>
  <si>
    <t>Quantità</t>
  </si>
  <si>
    <t>Cassetto</t>
  </si>
  <si>
    <t>No cassetto interno</t>
  </si>
  <si>
    <t>Lunghezza</t>
  </si>
  <si>
    <t>Spessore</t>
  </si>
  <si>
    <t>Non disponibile</t>
  </si>
  <si>
    <t>Ripartire</t>
  </si>
  <si>
    <t>Data della configurazione mobile:</t>
  </si>
  <si>
    <t>Datum för skåpets konfigurering:</t>
  </si>
  <si>
    <t>Larghezza esterno mobile:</t>
  </si>
  <si>
    <t>Skåpets yttermått:</t>
  </si>
  <si>
    <t>12. Tipo di guida interna</t>
  </si>
  <si>
    <t>2. Dolap Genişliği</t>
  </si>
  <si>
    <t>Dolap İç Yüksekliği</t>
  </si>
  <si>
    <t>3. Dolap İç Derinlik</t>
  </si>
  <si>
    <t>4. Renk Seçimi</t>
  </si>
  <si>
    <t>6. Yükseklik Ölçüsü</t>
  </si>
  <si>
    <t xml:space="preserve">10. Derinlik Seçimi </t>
  </si>
  <si>
    <t>Vidalamak</t>
  </si>
  <si>
    <t>Açılır Dübel Ø 8 mm</t>
  </si>
  <si>
    <t>&gt;&gt;&gt; Ray Seçimi &gt;&gt;&gt;</t>
  </si>
  <si>
    <t>Planlama:</t>
  </si>
  <si>
    <t>Dolap Dış Ölçüleri</t>
  </si>
  <si>
    <t>Genişlik</t>
  </si>
  <si>
    <t>Yükseklik</t>
  </si>
  <si>
    <t>Derinlik</t>
  </si>
  <si>
    <t>Yanak Rengi:</t>
  </si>
  <si>
    <t>Ürün Kodu</t>
  </si>
  <si>
    <t>Açıklama 1</t>
  </si>
  <si>
    <t>Açıklama 2</t>
  </si>
  <si>
    <t>Miktar</t>
  </si>
  <si>
    <t>Çekmece</t>
  </si>
  <si>
    <t>12. İç Çekmece Ray Tipi</t>
  </si>
  <si>
    <t>İç Çekmecesiz</t>
  </si>
  <si>
    <t>Uzunluk</t>
  </si>
  <si>
    <t>Kalınlık</t>
  </si>
  <si>
    <t>Ürün Programında yok</t>
  </si>
  <si>
    <t>Yeniden Başlat</t>
  </si>
  <si>
    <t>5. Cephe Sayısı</t>
  </si>
  <si>
    <t>Tüm ölçüler milimetre cinsinden</t>
  </si>
  <si>
    <t>Färg på lådsidan:</t>
  </si>
  <si>
    <t>CZ</t>
  </si>
  <si>
    <t>1. Síla materiálu</t>
  </si>
  <si>
    <t>2. Šířka korpusu</t>
  </si>
  <si>
    <t>Vnitřní výška korpusu</t>
  </si>
  <si>
    <t>Výška vrtání (výška vrtání vnitřní zásuvky)</t>
  </si>
  <si>
    <t>Mezera</t>
  </si>
  <si>
    <t>Přední čelo</t>
  </si>
  <si>
    <t>3. Vnitřní hloubka korpusu</t>
  </si>
  <si>
    <t>4. Výběr barvy</t>
  </si>
  <si>
    <t>6. Celková výška</t>
  </si>
  <si>
    <t>10. Hloubka zásuvky</t>
  </si>
  <si>
    <t>Vrut</t>
  </si>
  <si>
    <t>Hmoždinka Ø 8 mm</t>
  </si>
  <si>
    <t>&gt;&gt;&gt; Volba výsuvů &gt;&gt;&gt;</t>
  </si>
  <si>
    <t>Datum konfigurace:</t>
  </si>
  <si>
    <t>Vnitřní rozměry korpusu:</t>
  </si>
  <si>
    <t>Šířka</t>
  </si>
  <si>
    <t>Výška</t>
  </si>
  <si>
    <t>Hloubka</t>
  </si>
  <si>
    <t>Barva bořnice zásuvky</t>
  </si>
  <si>
    <t>Art. číslo</t>
  </si>
  <si>
    <t>Název 1</t>
  </si>
  <si>
    <t>Název 2</t>
  </si>
  <si>
    <t>Množství</t>
  </si>
  <si>
    <t>Zásuvka</t>
  </si>
  <si>
    <t>12. Typ vnitřní zásuvky</t>
  </si>
  <si>
    <t>Žádná zásuvka</t>
  </si>
  <si>
    <t>Délka</t>
  </si>
  <si>
    <t>Tloušťka</t>
  </si>
  <si>
    <t>Není dostupný</t>
  </si>
  <si>
    <t>5. Počet čelních zásuvek</t>
  </si>
  <si>
    <t>Všechny rozměry v milimetrech</t>
  </si>
  <si>
    <t>Recommencer</t>
  </si>
  <si>
    <t>Chev. à expension Ø 8 mm</t>
  </si>
  <si>
    <t>-</t>
  </si>
  <si>
    <t>Boden</t>
  </si>
  <si>
    <t>Rückwand</t>
  </si>
  <si>
    <t>Fond</t>
  </si>
  <si>
    <t>Dos</t>
  </si>
  <si>
    <t>Back panel</t>
  </si>
  <si>
    <t>Bottom panel</t>
  </si>
  <si>
    <t>Fondo</t>
  </si>
  <si>
    <t>Schienale</t>
  </si>
  <si>
    <t>Pared trasera</t>
  </si>
  <si>
    <t>Botten</t>
  </si>
  <si>
    <t>Bakstycke</t>
  </si>
  <si>
    <t>Deutsch</t>
  </si>
  <si>
    <t>English</t>
  </si>
  <si>
    <t>Francais</t>
  </si>
  <si>
    <t>Italiano</t>
  </si>
  <si>
    <t>Svenka</t>
  </si>
  <si>
    <t>Türk</t>
  </si>
  <si>
    <t>Pусский</t>
  </si>
  <si>
    <t>Español</t>
  </si>
  <si>
    <r>
      <rPr>
        <sz val="11"/>
        <color theme="1"/>
        <rFont val="Calibri"/>
        <family val="2"/>
      </rPr>
      <t>Č</t>
    </r>
    <r>
      <rPr>
        <sz val="11"/>
        <color theme="1"/>
        <rFont val="Calibri"/>
        <family val="2"/>
        <scheme val="minor"/>
      </rPr>
      <t>eský</t>
    </r>
  </si>
  <si>
    <t>NOVA PRO CLASSIC</t>
  </si>
  <si>
    <r>
      <rPr>
        <b/>
        <sz val="11"/>
        <color rgb="FF336600"/>
        <rFont val="Calibri"/>
        <family val="2"/>
        <scheme val="minor"/>
      </rPr>
      <t>NOVA PRO</t>
    </r>
    <r>
      <rPr>
        <sz val="11"/>
        <color rgb="FF336600"/>
        <rFont val="Calibri"/>
        <family val="2"/>
        <scheme val="minor"/>
      </rPr>
      <t xml:space="preserve"> SCALA</t>
    </r>
  </si>
  <si>
    <t>NOVA PRO DELUXE</t>
  </si>
  <si>
    <t>NOVA PRO SCALA</t>
  </si>
  <si>
    <t>VIONARO</t>
  </si>
  <si>
    <t>DWD XP</t>
  </si>
  <si>
    <t>Nova Pro Deluxe bietet höchste Funktionalität, zeitloses Design und außerordentlichen Komfort - von der Führung bis zum Aufsatz-System.</t>
  </si>
  <si>
    <t>Nova Pro Classic ist innovative Technologie in Zeitlos eleganter Optik.</t>
  </si>
  <si>
    <t>Die neue Auszugsgeneration. Inspiration im rechten Winkel. Einfach. Klar. Zeitlos</t>
  </si>
  <si>
    <t>Nova Pro Classic est une technologie innovante présentée avec un aspect élégant, intemporel.</t>
  </si>
  <si>
    <t>Nova Pro Deluxe ensures maximum function, timeless design and outstanding convenience – from the slides to the add-on system.</t>
  </si>
  <si>
    <t>Nova Pro Classic is innovative technology with a timeless visual design.</t>
  </si>
  <si>
    <t>The new drawer generation. Inspiration in the right angle. Simple. Clear. Timeless.</t>
  </si>
  <si>
    <t>La nouvelle génération de tiroirs. L’inspiration à angle droit. Simple. Clair. Intemporel.</t>
  </si>
  <si>
    <t>Das kubistische Schubkasten-System, kombiniert das millionenfach bewährte Führungs-System Dynapro mit vollendetem Design.</t>
  </si>
  <si>
    <t>The cubist drawer system in classy minimalist styling combines the Dynapro slide system with perfect design.</t>
  </si>
  <si>
    <t>Le système de tiroirs cubiques au design minimaliste combine le système de coulisses Dynapro à une esthétique épurée.</t>
  </si>
  <si>
    <t>Nova Pro Deluxe offre une fonctionnalité innovante, un design intemporel et un confort extrême, de la coulisse au de la coulisse au tiroir.</t>
  </si>
  <si>
    <t>Le système de tiroirs éprouvé offre une qualité excellente, une grande polyvalence d’agencement et des solutions fonctionnelles innovantes.</t>
  </si>
  <si>
    <t>Das bewährte Auszugs-System bietet hervorragende Qualität, größte Gestaltungsvielfalt und innovative Funktionslösungen.</t>
  </si>
  <si>
    <t>This tried-and-tested drawer system offers outstanding quality, maximum design freedom and innovative functional solutions.</t>
  </si>
  <si>
    <t>Anmerkung</t>
  </si>
  <si>
    <t>Sous réserve de modifications. Toutes erreurs et omissions exceptées. Utilisation du configurateur est aux risques de l'utilisateur.
Toutes responsabilité contre GRASS GmbH sont exclus. Les recommandations fournies ne sont pas contraignantes.
S'il vous plaît contacter notre expert en cas de questions ou de manque de clarté.</t>
  </si>
  <si>
    <t>Subject to change. All error &amp; omissions excepted. Use of the configurator is at the user's risk.
All liability claims against GRASS GmbH are excluded. The recommendations provided are non-binding.
Please contact our expert in the case of questions or unclarity.</t>
  </si>
  <si>
    <t>Démarrer la configuration</t>
  </si>
  <si>
    <t>Start the configuration</t>
  </si>
  <si>
    <t>die Konfiguration starten</t>
  </si>
  <si>
    <t>VIONARO1!A1</t>
  </si>
  <si>
    <t>Largeur de caisson</t>
  </si>
  <si>
    <t>Retour</t>
  </si>
  <si>
    <t>Zurück</t>
  </si>
  <si>
    <t>Back</t>
  </si>
  <si>
    <t>Indietro</t>
  </si>
  <si>
    <t>Retroceder</t>
  </si>
  <si>
    <t>Tillbaka</t>
  </si>
  <si>
    <t>Geri</t>
  </si>
  <si>
    <t>Zpět</t>
  </si>
  <si>
    <t>Korpus Innentiefe</t>
  </si>
  <si>
    <t>Interior Cabinet Depth</t>
  </si>
  <si>
    <t>Prondità interno mobile</t>
  </si>
  <si>
    <t>Profondeur utile du caisson</t>
  </si>
  <si>
    <t>Korpus Breite</t>
  </si>
  <si>
    <t>Overall cabinet width</t>
  </si>
  <si>
    <t>Larghezza totale mobile</t>
  </si>
  <si>
    <t xml:space="preserve">Korpusseitenstärke: </t>
  </si>
  <si>
    <t>Cabinet gable thickness</t>
  </si>
  <si>
    <t>Fianco del Mobile</t>
  </si>
  <si>
    <r>
      <t>Épaisseur des c</t>
    </r>
    <r>
      <rPr>
        <sz val="11"/>
        <color theme="1"/>
        <rFont val="Calibri"/>
        <family val="2"/>
      </rPr>
      <t>ô</t>
    </r>
    <r>
      <rPr>
        <sz val="11"/>
        <color theme="1"/>
        <rFont val="Calibri"/>
        <family val="2"/>
        <scheme val="minor"/>
      </rPr>
      <t>tés de caisson</t>
    </r>
  </si>
  <si>
    <t>Espesor lateral mueble</t>
  </si>
  <si>
    <t>Farbauswahl</t>
  </si>
  <si>
    <t>Choice of Colours</t>
  </si>
  <si>
    <t>Scelta del colore</t>
  </si>
  <si>
    <t>Sélection de la couleur</t>
  </si>
  <si>
    <t>Anzahl der Möbelfronten</t>
  </si>
  <si>
    <t>No. of front panels</t>
  </si>
  <si>
    <t>N° frontali interni</t>
  </si>
  <si>
    <t>Nombre facade de tiroir</t>
  </si>
  <si>
    <t>Numero de frentes</t>
  </si>
  <si>
    <t>Antal fronter</t>
  </si>
  <si>
    <t>Suivant</t>
  </si>
  <si>
    <t>Next</t>
  </si>
  <si>
    <t>Weiter</t>
  </si>
  <si>
    <t>V3.1</t>
  </si>
  <si>
    <t>V1</t>
  </si>
  <si>
    <t>Vionaro Konfigurator ohne Bohrungsmaßen</t>
  </si>
  <si>
    <t>V2</t>
  </si>
  <si>
    <t>Vionaro Konfigurator mit Bohrungsmaßen</t>
  </si>
  <si>
    <t>V2.1</t>
  </si>
  <si>
    <t>Vionaro Konfigurator mit Bohrungsmaßen korrigiert und Multispache</t>
  </si>
  <si>
    <t>Schubkasten Selektor (nur Vionaro) - new screen</t>
  </si>
  <si>
    <t>6 Stunden</t>
  </si>
  <si>
    <t>Hauteur façade</t>
  </si>
  <si>
    <t>Fronthöhe</t>
  </si>
  <si>
    <t>Front Panel high</t>
  </si>
  <si>
    <t>Выдвижной ящик</t>
  </si>
  <si>
    <t>Tiefenauswahl</t>
  </si>
  <si>
    <t>Drawer box depth</t>
  </si>
  <si>
    <t>Profondità cassetto</t>
  </si>
  <si>
    <t>Longitud del cajón</t>
  </si>
  <si>
    <t>Lådans djup</t>
  </si>
  <si>
    <t xml:space="preserve">Derinlik Seçimi </t>
  </si>
  <si>
    <t>Hloubka zásuvky</t>
  </si>
  <si>
    <t>Führung Typ</t>
  </si>
  <si>
    <t>Frontbefestigung Typ</t>
  </si>
  <si>
    <t>Choice of Front Connector</t>
  </si>
  <si>
    <t>Scelta del connettore frontale</t>
  </si>
  <si>
    <t>Type de fix. de facade</t>
  </si>
  <si>
    <t>Tipo de fijacion del frente</t>
  </si>
  <si>
    <t>Typ av frontbeslag</t>
  </si>
  <si>
    <t>Ön Bağlantı Tipi</t>
  </si>
  <si>
    <t>Typ přední montáže</t>
  </si>
  <si>
    <t>Schublade</t>
  </si>
  <si>
    <t>Innenlade</t>
  </si>
  <si>
    <t>Inset drawer</t>
  </si>
  <si>
    <t>Cassetto interno</t>
  </si>
  <si>
    <t>Tiroir intérieur</t>
  </si>
  <si>
    <t>Cajón interior</t>
  </si>
  <si>
    <t>Innerlåda</t>
  </si>
  <si>
    <t>Внутренняя шина</t>
  </si>
  <si>
    <t>İç çekmece</t>
  </si>
  <si>
    <t>Vnitřní (vložená) zásuvka</t>
  </si>
  <si>
    <t>Keine Konfiguration benötigt</t>
  </si>
  <si>
    <t>Pas de configuration requise</t>
  </si>
  <si>
    <t>Auszugskonfiguration</t>
  </si>
  <si>
    <t>Configuration du tiroir</t>
  </si>
  <si>
    <t>Type de coulisse</t>
  </si>
  <si>
    <t>Type of drawer slide</t>
  </si>
  <si>
    <t>Tipo di guida</t>
  </si>
  <si>
    <t xml:space="preserve">Tipo de guía </t>
  </si>
  <si>
    <t>Typ av lådskena</t>
  </si>
  <si>
    <t>Ray Tipi</t>
  </si>
  <si>
    <t>Typ výsuvu</t>
  </si>
  <si>
    <t>Sélection prof.</t>
  </si>
  <si>
    <t>Bitte Ihre Schubkasten konfigurieren</t>
  </si>
  <si>
    <t>5 Stunden</t>
  </si>
  <si>
    <t>Einbauhöhe -1</t>
  </si>
  <si>
    <t>Frontmindesthöhe -1</t>
  </si>
  <si>
    <t>Stückliste</t>
  </si>
  <si>
    <t>Part List</t>
  </si>
  <si>
    <t>Lista dei particolari</t>
  </si>
  <si>
    <t>Liste des ferrures</t>
  </si>
  <si>
    <t>Lista de elementos</t>
  </si>
  <si>
    <t>Detalj lista</t>
  </si>
  <si>
    <t>Ürün listesi</t>
  </si>
  <si>
    <t>Seznam</t>
  </si>
  <si>
    <t>Zuschnittsliste</t>
  </si>
  <si>
    <t>Cutlist</t>
  </si>
  <si>
    <t>Lista di taglio</t>
  </si>
  <si>
    <t>Liste de débit</t>
  </si>
  <si>
    <t>Lista pendiente</t>
  </si>
  <si>
    <t>Kaplista</t>
  </si>
  <si>
    <t>Ebatlama Listesi</t>
  </si>
  <si>
    <t>Seznam přířezů</t>
  </si>
  <si>
    <t>Veuillez configurer vos tiroirs.</t>
  </si>
  <si>
    <t>Veuillez indiquer la hauteur de façade.</t>
  </si>
  <si>
    <t>Jeu inférieur</t>
  </si>
  <si>
    <t>Jeu supérieur</t>
  </si>
  <si>
    <t>Fuge unten</t>
  </si>
  <si>
    <t>Fuge oben</t>
  </si>
  <si>
    <t>3 Stunden</t>
  </si>
  <si>
    <t>No configuration needed</t>
  </si>
  <si>
    <t>Please configure your drawers</t>
  </si>
  <si>
    <t>Bitte die Fronthöhe ausfüllen</t>
  </si>
  <si>
    <t>Please fill in the front height</t>
  </si>
  <si>
    <t>Bottom gap</t>
  </si>
  <si>
    <t>Top gap</t>
  </si>
  <si>
    <t>Drawer Configuration</t>
  </si>
  <si>
    <t>Hauteur de façade</t>
  </si>
  <si>
    <t>Sélection profond.</t>
  </si>
  <si>
    <t>Type de coulisse int.</t>
  </si>
  <si>
    <t>Höhenmaß</t>
  </si>
  <si>
    <t>Innenführung Typ</t>
  </si>
  <si>
    <t>Overall cabinet height</t>
  </si>
  <si>
    <t>Drawer box length</t>
  </si>
  <si>
    <t>Interior drawer slide type</t>
  </si>
  <si>
    <t>Bohrdaten</t>
  </si>
  <si>
    <t>Drilling data</t>
  </si>
  <si>
    <t>Données de perçage</t>
  </si>
  <si>
    <t>Führungsbohrungen</t>
  </si>
  <si>
    <t>Frontbohrungen</t>
  </si>
  <si>
    <t>Fuge links</t>
  </si>
  <si>
    <t>Fuge rechts</t>
  </si>
  <si>
    <t>Jeu gauche</t>
  </si>
  <si>
    <t>Jeu droite</t>
  </si>
  <si>
    <t>links</t>
  </si>
  <si>
    <t>rechts</t>
  </si>
  <si>
    <t>Fuge mitte</t>
  </si>
  <si>
    <t>Front Panel</t>
  </si>
  <si>
    <t>Façade</t>
  </si>
  <si>
    <t>2 Stunden</t>
  </si>
  <si>
    <t>Änderungen, Fehler und Irrtümer vorbehalten. Die Nutzung des Konfigurators erfolgt auf eigenes Risiko.
Haftungsansprüche gegenüber Grass GmbH sind ausgeschlossen. Es handelt sich um unverbindliche Empfehlungen.
Bei Fragen oder Unklarheiten kontaktieren Sie bitte unsere Fachleute.</t>
  </si>
  <si>
    <t>Pas de percage requis</t>
  </si>
  <si>
    <t>Keine Bohrung benötigt</t>
  </si>
  <si>
    <t>No drilling needed</t>
  </si>
  <si>
    <t>--</t>
  </si>
  <si>
    <t>Percage latéraux pour coulisses</t>
  </si>
  <si>
    <t>Seitenbohrungen für Führungen</t>
  </si>
  <si>
    <t>Side drilling for slides</t>
  </si>
  <si>
    <t>Min. 200</t>
  </si>
  <si>
    <t>Max. 1500</t>
  </si>
  <si>
    <t>Min. 273</t>
  </si>
  <si>
    <t>Min. 0</t>
  </si>
  <si>
    <t>Max. 5</t>
  </si>
  <si>
    <t>Min. 1</t>
  </si>
  <si>
    <t>Fehler korrektur</t>
  </si>
  <si>
    <t>V3.2</t>
  </si>
  <si>
    <t>V3.3</t>
  </si>
  <si>
    <t>Kein Makros</t>
  </si>
  <si>
    <t>ok</t>
  </si>
  <si>
    <t>nom</t>
  </si>
  <si>
    <t>activité</t>
  </si>
  <si>
    <t>val</t>
  </si>
  <si>
    <t>à masquer</t>
  </si>
  <si>
    <t>4 Stunden</t>
  </si>
  <si>
    <t>V3.4</t>
  </si>
  <si>
    <t>Min. 96</t>
  </si>
  <si>
    <t>Max. 780</t>
  </si>
  <si>
    <t>1 Stunde</t>
  </si>
  <si>
    <t>H121</t>
  </si>
  <si>
    <t>D601 /INNENBLSET/H121/259 /  50</t>
  </si>
  <si>
    <t>D601 /INNENBLSET/H121/260 /  50</t>
  </si>
  <si>
    <t>D601 /INNENBLSET/H121/261 /  50</t>
  </si>
  <si>
    <t>Silver grey H121 VPE 50</t>
  </si>
  <si>
    <t>Graphit H121 VPE 50</t>
  </si>
  <si>
    <t>Snow white H121 VPE 50</t>
  </si>
  <si>
    <t>Vionaro Innenblende H121</t>
  </si>
  <si>
    <t>Fehler korrektur und Integration Innenblende H121</t>
  </si>
  <si>
    <t>F136107488517</t>
  </si>
  <si>
    <t>F136107489517</t>
  </si>
  <si>
    <t>F136107490517</t>
  </si>
  <si>
    <t>F136107491517</t>
  </si>
  <si>
    <t>Golden Brown H121 VPE 50</t>
  </si>
  <si>
    <t>F136107483507</t>
  </si>
  <si>
    <t>F136107484507</t>
  </si>
  <si>
    <t>F136107485507</t>
  </si>
  <si>
    <t>F136107486507</t>
  </si>
  <si>
    <t>1160 snow white z. Abläng. VE1/10</t>
  </si>
  <si>
    <t>F136107487507</t>
  </si>
  <si>
    <t>1160 golden brown z. Abläng. VE1/10</t>
  </si>
  <si>
    <t>Kubistický zásuvkový systém ušlechtilého vzhedu, kombinovaný s osvědčeným vodícím systémem Dynapro.</t>
  </si>
  <si>
    <t>Start konfigurace</t>
  </si>
  <si>
    <t>Dno</t>
  </si>
  <si>
    <t>Zadní stěna</t>
  </si>
  <si>
    <t>Další</t>
  </si>
  <si>
    <t>Výpis konfigurace</t>
  </si>
  <si>
    <t>Žádná konfigurace</t>
  </si>
  <si>
    <t>Nakonfigurujte zásuvky</t>
  </si>
  <si>
    <t>Vyplňte výšku čela</t>
  </si>
  <si>
    <t>Odsazení dole</t>
  </si>
  <si>
    <t>Osazení nahoře</t>
  </si>
  <si>
    <t>Vrtací data</t>
  </si>
  <si>
    <t>Odsazení vlevo</t>
  </si>
  <si>
    <t>Odsazení vpravo</t>
  </si>
  <si>
    <t>Přední</t>
  </si>
  <si>
    <t>Žádné vrtání</t>
  </si>
  <si>
    <t>Boční vrtání výsuvů</t>
  </si>
  <si>
    <t>jsou vůči Grass GmbH, resp. Würth, spol. sr.o. zcela vyloučeny.</t>
  </si>
  <si>
    <t>V případě dotazů či nejasností se obraťte na naše obchodní zástupce, případně specialisty.</t>
  </si>
  <si>
    <t>Meubel Wand dikte</t>
  </si>
  <si>
    <t>Meubel Breedte</t>
  </si>
  <si>
    <t>Meubel hoogte maate  (inwendig)</t>
  </si>
  <si>
    <t>Boor hoogte</t>
  </si>
  <si>
    <t>Voeg in het midden</t>
  </si>
  <si>
    <t>Front hoogte</t>
  </si>
  <si>
    <t>Meubel Diepte</t>
  </si>
  <si>
    <t>Kleur Keuze</t>
  </si>
  <si>
    <t>Hoogte maat</t>
  </si>
  <si>
    <t>Lade</t>
  </si>
  <si>
    <t>Diepte maten</t>
  </si>
  <si>
    <t>Binnenlade</t>
  </si>
  <si>
    <t>Frontbefestiging</t>
  </si>
  <si>
    <t>Bevestiging met schroeven</t>
  </si>
  <si>
    <t>spreid plug 8mm</t>
  </si>
  <si>
    <t>Type geleiders</t>
  </si>
  <si>
    <t>Geleider keuze</t>
  </si>
  <si>
    <t>Planning van</t>
  </si>
  <si>
    <t>Buitenmaten meubel</t>
  </si>
  <si>
    <t>Breedte</t>
  </si>
  <si>
    <t xml:space="preserve">Hoogte  </t>
  </si>
  <si>
    <t>Diepte</t>
  </si>
  <si>
    <t>Decor kleur</t>
  </si>
  <si>
    <t>Betekenis 1</t>
  </si>
  <si>
    <t xml:space="preserve">Betekenis 2 </t>
  </si>
  <si>
    <t>Hoeveelheid</t>
  </si>
  <si>
    <t>Stuklijst</t>
  </si>
  <si>
    <t>Terug</t>
  </si>
  <si>
    <t>Lades</t>
  </si>
  <si>
    <t>Geleider uitvoering</t>
  </si>
  <si>
    <t>Geen binnenlade</t>
  </si>
  <si>
    <t>Zaaglijst</t>
  </si>
  <si>
    <t>Lengte</t>
  </si>
  <si>
    <t>Diktes</t>
  </si>
  <si>
    <t>Niet in assortiment</t>
  </si>
  <si>
    <t>Opnieuw beginnen</t>
  </si>
  <si>
    <t>Aantal fronten</t>
  </si>
  <si>
    <t>Alle maten in mm</t>
  </si>
  <si>
    <t>Bodem</t>
  </si>
  <si>
    <t>Rugwand</t>
  </si>
  <si>
    <t>verder</t>
  </si>
  <si>
    <t>Lade samenstellen</t>
  </si>
  <si>
    <t>Geen samenstelling nodig</t>
  </si>
  <si>
    <t>Gelieve uw lades samenstellen</t>
  </si>
  <si>
    <t>Gelieve uw fronthoogte invullen</t>
  </si>
  <si>
    <t>Voeg beneden</t>
  </si>
  <si>
    <t>Voeg boven</t>
  </si>
  <si>
    <t>Boor gegevens</t>
  </si>
  <si>
    <t>Voeg links</t>
  </si>
  <si>
    <t>Voeg rechts</t>
  </si>
  <si>
    <t>Geen boringen nodig</t>
  </si>
  <si>
    <t>Benodigde zijboringen</t>
  </si>
  <si>
    <t>Nova Pro Classic is een innovatieve technologie in een tijdloos optiek</t>
  </si>
  <si>
    <t>Nova Pro Deluxe biedt hoge functionaliteit, tijdloos design en ongekende comfor- van geleiders tot aan de gehele montage</t>
  </si>
  <si>
    <t>Het nieuwe ladesystem. Inspiratie met rechte hoeken. Eenvoudig. Duidelijk.Tijdloos.</t>
  </si>
  <si>
    <t>Het gewaarborgde lade system biedt geweldige kwaliteit, grote verscheidenheid met functionele oplossingen</t>
  </si>
  <si>
    <t>Configuratie beginnen</t>
  </si>
  <si>
    <t>Nederlandse</t>
  </si>
  <si>
    <t>Wijzigingen en vergissingen zijn voorbehouden. Het gebruik van de configurator
is op eigen risico. Aansprakelijkheid van claims tegen Grass GmbH zijn uitgesloten.
Het handelt om niet-bindenden aanbevelingen. Voor vragen of twijfel
neem dan contact op met onze specialisten.</t>
  </si>
  <si>
    <t>Konfigurátor používejte pouze jako nezávazné doporučení. Případné nároky za jakoukoli odpovědnost
jsou vůči Grass GmbH, resp. Würth, spol. sr.o. zcela vyloučeny.
V případě dotazů či nejasností se obraťte na naše obchodní zástupce, případně specialisty.</t>
  </si>
  <si>
    <t>PL</t>
  </si>
  <si>
    <t>Grubość ścianki korpusu</t>
  </si>
  <si>
    <t>Szerokość korpusu</t>
  </si>
  <si>
    <t>Prześwit pionowy</t>
  </si>
  <si>
    <t xml:space="preserve">Pozycja linii mocowania prowadnicy </t>
  </si>
  <si>
    <t>Szczelina pośrednia</t>
  </si>
  <si>
    <t>Wysokość frontu</t>
  </si>
  <si>
    <t>Głębokość wewn. korpusu</t>
  </si>
  <si>
    <t>Wybór koloru</t>
  </si>
  <si>
    <t>Wysokość</t>
  </si>
  <si>
    <t>Szuflada</t>
  </si>
  <si>
    <t>Wybór głębokości</t>
  </si>
  <si>
    <t>Szuflada wewnętrzna</t>
  </si>
  <si>
    <t>Mocowanie frontu</t>
  </si>
  <si>
    <t>wkręty</t>
  </si>
  <si>
    <t>Typ prowadnicy</t>
  </si>
  <si>
    <t>&gt;&gt;&gt; Wybór prowadnicy &gt;&gt;&gt;</t>
  </si>
  <si>
    <t>Dane projektowe</t>
  </si>
  <si>
    <t>Wymiary zewnętrzne korpusu</t>
  </si>
  <si>
    <t>Szerokość</t>
  </si>
  <si>
    <t>Głębokość</t>
  </si>
  <si>
    <t xml:space="preserve">Kolor szuflady </t>
  </si>
  <si>
    <t>Nr artykułu</t>
  </si>
  <si>
    <t>Opis 1</t>
  </si>
  <si>
    <t>Opis 2</t>
  </si>
  <si>
    <t>Ilość</t>
  </si>
  <si>
    <t>Lista okuć</t>
  </si>
  <si>
    <t>Powrót</t>
  </si>
  <si>
    <t xml:space="preserve">Bez szuflady wewnętrznej </t>
  </si>
  <si>
    <t>Lista elementów płytowych</t>
  </si>
  <si>
    <t xml:space="preserve">Długość </t>
  </si>
  <si>
    <t>Grubość</t>
  </si>
  <si>
    <t>Brak w programie</t>
  </si>
  <si>
    <t>Ponowny start</t>
  </si>
  <si>
    <t>Ilość frontów</t>
  </si>
  <si>
    <t>Wszystkie wymiary w mm</t>
  </si>
  <si>
    <t>Plecy</t>
  </si>
  <si>
    <t>Dalej</t>
  </si>
  <si>
    <t>Konfiguracja szuflady</t>
  </si>
  <si>
    <t>Konfiguracja nie jest potrzebna</t>
  </si>
  <si>
    <t>Proszę skonfigurować szufladę</t>
  </si>
  <si>
    <t>Proszę podać wysokość frontów</t>
  </si>
  <si>
    <t>Szczelina dolna</t>
  </si>
  <si>
    <t>Szczelina górna</t>
  </si>
  <si>
    <t xml:space="preserve">Dane otworów montażowych </t>
  </si>
  <si>
    <t>Szczelina lewa</t>
  </si>
  <si>
    <t>Szczelina prawa</t>
  </si>
  <si>
    <t>Nawiercenie pod prowadnicę</t>
  </si>
  <si>
    <t>Nova Pro Classic to innowacyjna technologia i elegancki wygląd.</t>
  </si>
  <si>
    <t>Nova Pro Deluxe oferuje najwyższą funkcjonalność,  ponadczasowy wygląd i komfort użytkowania.</t>
  </si>
  <si>
    <t>Nowa generacja szuflad. Zainspirowana prostotą i zachowaniem kątów prostych.</t>
  </si>
  <si>
    <t>Kubistyczna forma szuflad oraz sprawdzone prowadnice Dynapro to idealne połączenie elegancji i niezawodności.</t>
  </si>
  <si>
    <t>Sprawdzony i niezawodny system szuflad oferuje najwyższą jakość pracy, różnorodność wykonania oraz innowacyjną funkcjonalność.</t>
  </si>
  <si>
    <t>Start konfiguratora</t>
  </si>
  <si>
    <t>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t>
  </si>
  <si>
    <t>Polski</t>
  </si>
  <si>
    <t>Het kubistische lade systeem, combineert de miljoenvoud van een bewezen geleidingssysteem Dynapro met volmaakte stijl.</t>
  </si>
  <si>
    <t>kołki Ø 8 mm</t>
  </si>
  <si>
    <t>Wiercenie niewymagane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</si>
</sst>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41" x14ac:knownFonts="1">
    <font>
      <sz val="11"/>
      <color theme="1"/>
      <name val="Calibri"/>
      <family val="2"/>
      <scheme val="minor"/>
    </font>
    <font>
      <sz val="11"/>
      <color theme="1"/>
      <name val="Calibri"/>
      <family val="2"/>
    </font>
    <font>
      <sz val="11"/>
      <name val="Verdana"/>
      <family val="2"/>
    </font>
    <font>
      <sz val="11"/>
      <color theme="1"/>
      <name val="Verdana"/>
      <family val="2"/>
    </font>
    <font>
      <sz val="8"/>
      <color theme="1"/>
      <name val="Verdana"/>
      <family val="2"/>
    </font>
    <font>
      <b/>
      <sz val="9"/>
      <color rgb="FFFF0000"/>
      <name val="Verdana"/>
      <family val="2"/>
    </font>
    <font>
      <sz val="11"/>
      <name val="Calibri"/>
      <family val="2"/>
      <scheme val="minor"/>
    </font>
    <font>
      <sz val="11"/>
      <color rgb="FFFF0000"/>
      <name val="Calibri"/>
      <family val="2"/>
      <scheme val="minor"/>
    </font>
    <font>
      <sz val="9"/>
      <color rgb="FFFF0000"/>
      <name val="Calibri"/>
      <family val="2"/>
      <scheme val="minor"/>
    </font>
    <font>
      <sz val="9"/>
      <color theme="1"/>
      <name val="Calibri"/>
      <family val="2"/>
      <scheme val="minor"/>
    </font>
    <font>
      <b/>
      <sz val="9"/>
      <color rgb="FFFF0000"/>
      <name val="Calibri"/>
      <family val="2"/>
      <scheme val="minor"/>
    </font>
    <font>
      <sz val="8"/>
      <color theme="1"/>
      <name val="Calibri"/>
      <family val="2"/>
      <scheme val="minor"/>
    </font>
    <font>
      <b/>
      <sz val="19"/>
      <color theme="1"/>
      <name val="Calibri"/>
      <family val="2"/>
      <scheme val="minor"/>
    </font>
    <font>
      <sz val="8"/>
      <color rgb="FFFF0000"/>
      <name val="Calibri"/>
      <family val="2"/>
      <scheme val="minor"/>
    </font>
    <font>
      <b/>
      <sz val="8"/>
      <color theme="1"/>
      <name val="Calibri"/>
      <family val="2"/>
      <scheme val="minor"/>
    </font>
    <font>
      <b/>
      <sz val="8"/>
      <color rgb="FFFF0000"/>
      <name val="Calibri"/>
      <family val="2"/>
      <scheme val="minor"/>
    </font>
    <font>
      <b/>
      <sz val="8"/>
      <color theme="0"/>
      <name val="Calibri"/>
      <family val="2"/>
      <scheme val="minor"/>
    </font>
    <font>
      <sz val="8"/>
      <color theme="0"/>
      <name val="Calibri"/>
      <family val="2"/>
      <scheme val="minor"/>
    </font>
    <font>
      <sz val="8"/>
      <name val="Calibri"/>
      <family val="2"/>
      <scheme val="minor"/>
    </font>
    <font>
      <b/>
      <sz val="8"/>
      <name val="Calibri"/>
      <family val="2"/>
      <scheme val="minor"/>
    </font>
    <font>
      <b/>
      <sz val="11"/>
      <color theme="0"/>
      <name val="Calibri"/>
      <family val="2"/>
      <scheme val="minor"/>
    </font>
    <font>
      <sz val="8"/>
      <color rgb="FF5F5E59"/>
      <name val="Verdana"/>
      <family val="2"/>
    </font>
    <font>
      <sz val="11"/>
      <color rgb="FF336600"/>
      <name val="Calibri"/>
      <family val="2"/>
      <scheme val="minor"/>
    </font>
    <font>
      <b/>
      <sz val="11"/>
      <color rgb="FF336600"/>
      <name val="Calibri"/>
      <family val="2"/>
      <scheme val="minor"/>
    </font>
    <font>
      <u/>
      <sz val="11"/>
      <color theme="10"/>
      <name val="Calibri"/>
      <family val="2"/>
      <scheme val="minor"/>
    </font>
    <font>
      <b/>
      <sz val="14"/>
      <color theme="1"/>
      <name val="Calibri"/>
      <family val="2"/>
      <scheme val="minor"/>
    </font>
    <font>
      <sz val="11"/>
      <color theme="1" tint="0.499984740745262"/>
      <name val="Calibri"/>
      <family val="2"/>
      <scheme val="minor"/>
    </font>
    <font>
      <sz val="9"/>
      <color theme="1" tint="0.249977111117893"/>
      <name val="Calibri"/>
      <family val="2"/>
      <scheme val="minor"/>
    </font>
    <font>
      <b/>
      <sz val="11"/>
      <color theme="1"/>
      <name val="Calibri"/>
      <family val="2"/>
      <scheme val="minor"/>
    </font>
    <font>
      <b/>
      <sz val="11"/>
      <color rgb="FFFF0000"/>
      <name val="Calibri"/>
      <family val="2"/>
      <scheme val="minor"/>
    </font>
    <font>
      <sz val="9"/>
      <color theme="0" tint="-0.499984740745262"/>
      <name val="Calibri"/>
      <family val="2"/>
      <scheme val="minor"/>
    </font>
    <font>
      <sz val="11"/>
      <color rgb="FFFF0000"/>
      <name val="Calibri"/>
      <family val="2"/>
    </font>
    <font>
      <b/>
      <sz val="11"/>
      <name val="Calibri"/>
      <family val="2"/>
      <scheme val="minor"/>
    </font>
    <font>
      <sz val="11"/>
      <color theme="0"/>
      <name val="Calibri"/>
      <family val="2"/>
      <scheme val="minor"/>
    </font>
    <font>
      <sz val="11"/>
      <name val="Calibri"/>
      <family val="2"/>
    </font>
    <font>
      <sz val="9"/>
      <name val="Calibri"/>
      <family val="2"/>
      <scheme val="minor"/>
    </font>
    <font>
      <b/>
      <sz val="9"/>
      <name val="Calibri"/>
      <family val="2"/>
      <scheme val="minor"/>
    </font>
    <font>
      <b/>
      <sz val="19"/>
      <name val="Calibri"/>
      <family val="2"/>
      <scheme val="minor"/>
    </font>
    <font>
      <b/>
      <sz val="10"/>
      <name val="Arial"/>
      <family val="2"/>
    </font>
    <font>
      <sz val="10"/>
      <color indexed="10"/>
      <name val="Arial"/>
      <family val="2"/>
    </font>
    <font>
      <sz val="10"/>
      <color rgb="FF222222"/>
      <name val="Arial"/>
      <family val="2"/>
    </font>
  </fonts>
  <fills count="1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008000"/>
        <bgColor indexed="64"/>
      </patternFill>
    </fill>
    <fill>
      <patternFill patternType="solid">
        <fgColor rgb="FF006600"/>
        <bgColor indexed="64"/>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8228"/>
        <bgColor indexed="64"/>
      </patternFill>
    </fill>
    <fill>
      <patternFill patternType="solid">
        <fgColor rgb="FFFFFF00"/>
        <bgColor indexed="64"/>
      </patternFill>
    </fill>
    <fill>
      <patternFill patternType="solid">
        <fgColor rgb="FFFFC000"/>
        <bgColor indexed="64"/>
      </patternFill>
    </fill>
    <fill>
      <patternFill patternType="solid">
        <fgColor indexed="8"/>
        <bgColor indexed="64"/>
      </patternFill>
    </fill>
    <fill>
      <patternFill patternType="solid">
        <fgColor indexed="42"/>
        <bgColor indexed="64"/>
      </patternFill>
    </fill>
    <fill>
      <patternFill patternType="solid">
        <fgColor rgb="FF00B050"/>
        <bgColor indexed="64"/>
      </patternFill>
    </fill>
  </fills>
  <borders count="38">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right/>
      <top style="medium">
        <color indexed="64"/>
      </top>
      <bottom style="thin">
        <color theme="0"/>
      </bottom>
      <diagonal/>
    </border>
    <border>
      <left/>
      <right/>
      <top style="thin">
        <color theme="0"/>
      </top>
      <bottom style="thin">
        <color theme="0"/>
      </bottom>
      <diagonal/>
    </border>
    <border>
      <left/>
      <right/>
      <top/>
      <bottom style="thin">
        <color theme="0"/>
      </bottom>
      <diagonal/>
    </border>
    <border>
      <left/>
      <right style="medium">
        <color indexed="64"/>
      </right>
      <top/>
      <bottom style="thin">
        <color theme="0"/>
      </bottom>
      <diagonal/>
    </border>
    <border>
      <left style="medium">
        <color indexed="64"/>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4" fillId="0" borderId="0" applyNumberFormat="0" applyFill="0" applyBorder="0" applyAlignment="0" applyProtection="0"/>
  </cellStyleXfs>
  <cellXfs count="298">
    <xf numFmtId="0" fontId="0" fillId="0" borderId="0" xfId="0"/>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0" xfId="0" applyBorder="1" applyAlignment="1">
      <alignment horizontal="center"/>
    </xf>
    <xf numFmtId="0" fontId="0" fillId="0" borderId="14" xfId="0" applyBorder="1" applyAlignment="1">
      <alignment horizontal="center"/>
    </xf>
    <xf numFmtId="0" fontId="0" fillId="0" borderId="15" xfId="0" applyBorder="1"/>
    <xf numFmtId="0" fontId="0" fillId="0" borderId="16" xfId="0" applyBorder="1"/>
    <xf numFmtId="0" fontId="0" fillId="0" borderId="16" xfId="0" applyBorder="1" applyAlignment="1">
      <alignment horizontal="center"/>
    </xf>
    <xf numFmtId="0" fontId="0" fillId="0" borderId="17" xfId="0" applyBorder="1" applyAlignment="1">
      <alignment horizontal="center"/>
    </xf>
    <xf numFmtId="0" fontId="1" fillId="0" borderId="0" xfId="0" applyFont="1" applyAlignment="1">
      <alignment vertical="center"/>
    </xf>
    <xf numFmtId="0" fontId="0" fillId="0" borderId="0" xfId="0" applyAlignment="1">
      <alignment horizontal="center"/>
    </xf>
    <xf numFmtId="0" fontId="0" fillId="0" borderId="0" xfId="0" applyAlignment="1">
      <alignment horizontal="left"/>
    </xf>
    <xf numFmtId="0" fontId="0" fillId="0" borderId="17" xfId="0" applyBorder="1"/>
    <xf numFmtId="0" fontId="0" fillId="0" borderId="0" xfId="0" applyFill="1" applyBorder="1"/>
    <xf numFmtId="0" fontId="0" fillId="0" borderId="16" xfId="0" applyFill="1" applyBorder="1"/>
    <xf numFmtId="0" fontId="0" fillId="0" borderId="10" xfId="0" applyBorder="1" applyAlignment="1">
      <alignment horizontal="center"/>
    </xf>
    <xf numFmtId="0" fontId="0" fillId="0" borderId="11" xfId="0" applyBorder="1" applyAlignment="1">
      <alignment horizontal="center"/>
    </xf>
    <xf numFmtId="0" fontId="0" fillId="7" borderId="13" xfId="0" applyFill="1" applyBorder="1"/>
    <xf numFmtId="0" fontId="0" fillId="7" borderId="0" xfId="0" applyFill="1" applyBorder="1"/>
    <xf numFmtId="0" fontId="0" fillId="7" borderId="14" xfId="0" applyFill="1" applyBorder="1"/>
    <xf numFmtId="0" fontId="0" fillId="8" borderId="0" xfId="0" applyFill="1" applyBorder="1"/>
    <xf numFmtId="0" fontId="0" fillId="8" borderId="13" xfId="0" applyFill="1" applyBorder="1"/>
    <xf numFmtId="0" fontId="0" fillId="8" borderId="14" xfId="0" applyFill="1" applyBorder="1"/>
    <xf numFmtId="0" fontId="2" fillId="0" borderId="0" xfId="0" applyFont="1" applyFill="1"/>
    <xf numFmtId="0" fontId="3" fillId="0" borderId="0" xfId="0" applyFont="1"/>
    <xf numFmtId="0" fontId="3" fillId="0" borderId="0" xfId="0" applyFont="1" applyFill="1"/>
    <xf numFmtId="0" fontId="3" fillId="0" borderId="0" xfId="0" applyFont="1" applyFill="1" applyBorder="1"/>
    <xf numFmtId="49" fontId="2" fillId="0" borderId="0" xfId="0" applyNumberFormat="1" applyFont="1" applyFill="1"/>
    <xf numFmtId="49" fontId="3" fillId="0" borderId="0" xfId="0" applyNumberFormat="1" applyFont="1" applyFill="1"/>
    <xf numFmtId="0" fontId="3" fillId="0" borderId="0" xfId="0" applyFont="1" applyAlignment="1">
      <alignment horizontal="left"/>
    </xf>
    <xf numFmtId="0" fontId="3" fillId="0" borderId="0" xfId="0" applyFont="1" applyFill="1" applyProtection="1">
      <protection locked="0"/>
    </xf>
    <xf numFmtId="0" fontId="0" fillId="0" borderId="13" xfId="0" applyBorder="1" applyAlignment="1">
      <alignment horizontal="center"/>
    </xf>
    <xf numFmtId="0" fontId="0" fillId="0" borderId="14" xfId="0" applyBorder="1"/>
    <xf numFmtId="0" fontId="3" fillId="0" borderId="13" xfId="0" applyFont="1" applyFill="1" applyBorder="1"/>
    <xf numFmtId="0" fontId="0" fillId="0" borderId="15" xfId="0" applyBorder="1" applyAlignment="1">
      <alignment horizontal="center"/>
    </xf>
    <xf numFmtId="0" fontId="0" fillId="7" borderId="0" xfId="0" applyFill="1" applyBorder="1" applyAlignment="1">
      <alignment horizontal="center"/>
    </xf>
    <xf numFmtId="0" fontId="0" fillId="7" borderId="11" xfId="0" applyFill="1" applyBorder="1" applyAlignment="1">
      <alignment horizontal="center"/>
    </xf>
    <xf numFmtId="0" fontId="0" fillId="7" borderId="16" xfId="0" applyFill="1" applyBorder="1" applyAlignment="1">
      <alignment horizontal="center"/>
    </xf>
    <xf numFmtId="0" fontId="0" fillId="7" borderId="16" xfId="0" applyFill="1" applyBorder="1"/>
    <xf numFmtId="0" fontId="4" fillId="2" borderId="0" xfId="0" applyFont="1" applyFill="1"/>
    <xf numFmtId="0" fontId="4" fillId="2" borderId="0" xfId="0" applyFont="1" applyFill="1" applyAlignment="1">
      <alignment horizontal="left"/>
    </xf>
    <xf numFmtId="0" fontId="4" fillId="2" borderId="0" xfId="0" applyFont="1" applyFill="1" applyAlignment="1">
      <alignment horizontal="right"/>
    </xf>
    <xf numFmtId="0" fontId="4" fillId="2" borderId="0" xfId="0" applyFont="1" applyFill="1" applyBorder="1"/>
    <xf numFmtId="0" fontId="0" fillId="0" borderId="0" xfId="0" applyAlignment="1">
      <alignment wrapText="1"/>
    </xf>
    <xf numFmtId="0" fontId="3" fillId="0" borderId="10" xfId="0" applyFont="1" applyFill="1" applyBorder="1" applyAlignment="1">
      <alignment horizontal="right"/>
    </xf>
    <xf numFmtId="0" fontId="3" fillId="0" borderId="11" xfId="0" applyFont="1" applyFill="1" applyBorder="1"/>
    <xf numFmtId="49" fontId="3" fillId="0" borderId="0" xfId="0" applyNumberFormat="1" applyFont="1"/>
    <xf numFmtId="0" fontId="0" fillId="0" borderId="0" xfId="0" applyFill="1" applyBorder="1" applyAlignment="1">
      <alignment horizontal="center"/>
    </xf>
    <xf numFmtId="0" fontId="0" fillId="2" borderId="0" xfId="0" applyFill="1"/>
    <xf numFmtId="0" fontId="4" fillId="2" borderId="0" xfId="0" applyFont="1" applyFill="1" applyBorder="1" applyAlignment="1">
      <alignment horizontal="left"/>
    </xf>
    <xf numFmtId="0" fontId="6" fillId="0" borderId="0" xfId="0" applyFont="1"/>
    <xf numFmtId="0" fontId="8" fillId="6" borderId="0" xfId="0" applyFont="1" applyFill="1" applyProtection="1"/>
    <xf numFmtId="0" fontId="9" fillId="6" borderId="0" xfId="0" applyFont="1" applyFill="1" applyProtection="1"/>
    <xf numFmtId="0" fontId="10" fillId="6" borderId="0" xfId="0" applyFont="1" applyFill="1" applyProtection="1"/>
    <xf numFmtId="0" fontId="9" fillId="2" borderId="0" xfId="0" applyFont="1" applyFill="1" applyProtection="1"/>
    <xf numFmtId="0" fontId="10" fillId="2" borderId="0" xfId="0" applyFont="1" applyFill="1" applyProtection="1"/>
    <xf numFmtId="0" fontId="11" fillId="2" borderId="0" xfId="0" applyFont="1" applyFill="1" applyAlignment="1" applyProtection="1">
      <alignment horizontal="right"/>
    </xf>
    <xf numFmtId="0" fontId="12" fillId="2" borderId="0" xfId="0" applyFont="1" applyFill="1" applyAlignment="1" applyProtection="1"/>
    <xf numFmtId="0" fontId="13" fillId="6" borderId="0" xfId="0" applyFont="1" applyFill="1" applyProtection="1"/>
    <xf numFmtId="0" fontId="11" fillId="6" borderId="0" xfId="0" applyFont="1" applyFill="1" applyProtection="1"/>
    <xf numFmtId="0" fontId="14" fillId="2" borderId="0" xfId="0" applyFont="1" applyFill="1" applyAlignment="1" applyProtection="1">
      <alignment horizontal="right"/>
    </xf>
    <xf numFmtId="0" fontId="11" fillId="2" borderId="0" xfId="0" applyFont="1" applyFill="1" applyProtection="1"/>
    <xf numFmtId="0" fontId="15" fillId="2" borderId="0" xfId="0" applyFont="1" applyFill="1" applyProtection="1"/>
    <xf numFmtId="0" fontId="13" fillId="6" borderId="0" xfId="0" applyFont="1" applyFill="1" applyAlignment="1" applyProtection="1">
      <alignment horizontal="left"/>
    </xf>
    <xf numFmtId="0" fontId="11" fillId="6" borderId="0" xfId="0" applyFont="1" applyFill="1" applyAlignment="1" applyProtection="1">
      <alignment horizontal="left"/>
    </xf>
    <xf numFmtId="0" fontId="16" fillId="2" borderId="0" xfId="0" applyFont="1" applyFill="1" applyBorder="1" applyAlignment="1" applyProtection="1">
      <alignment horizontal="center"/>
    </xf>
    <xf numFmtId="0" fontId="15" fillId="2" borderId="0" xfId="0" applyFont="1" applyFill="1" applyBorder="1" applyProtection="1"/>
    <xf numFmtId="0" fontId="11" fillId="2" borderId="0" xfId="0" applyFont="1" applyFill="1" applyAlignment="1" applyProtection="1">
      <alignment horizontal="left"/>
    </xf>
    <xf numFmtId="0" fontId="15" fillId="2" borderId="0" xfId="0" applyFont="1" applyFill="1" applyAlignment="1" applyProtection="1">
      <alignment horizontal="center" vertical="center" textRotation="90"/>
    </xf>
    <xf numFmtId="0" fontId="11" fillId="2" borderId="1" xfId="0" applyFont="1" applyFill="1" applyBorder="1" applyProtection="1"/>
    <xf numFmtId="0" fontId="11" fillId="2" borderId="5" xfId="0" applyFont="1" applyFill="1" applyBorder="1" applyProtection="1"/>
    <xf numFmtId="0" fontId="11" fillId="2" borderId="2" xfId="0" applyFont="1" applyFill="1" applyBorder="1" applyProtection="1"/>
    <xf numFmtId="0" fontId="15" fillId="2" borderId="0" xfId="0" applyFont="1" applyFill="1" applyAlignment="1" applyProtection="1">
      <alignment horizontal="center" vertical="center"/>
    </xf>
    <xf numFmtId="0" fontId="11" fillId="3" borderId="0" xfId="0" applyFont="1" applyFill="1" applyAlignment="1" applyProtection="1">
      <alignment horizontal="center"/>
    </xf>
    <xf numFmtId="0" fontId="15" fillId="2" borderId="0" xfId="0" applyFont="1" applyFill="1" applyBorder="1" applyAlignment="1" applyProtection="1">
      <alignment horizontal="center" vertical="center"/>
    </xf>
    <xf numFmtId="0" fontId="11" fillId="2" borderId="4" xfId="0" applyFont="1" applyFill="1" applyBorder="1" applyAlignment="1" applyProtection="1">
      <alignment horizontal="left"/>
    </xf>
    <xf numFmtId="0" fontId="11" fillId="2" borderId="0" xfId="0" applyFont="1" applyFill="1" applyBorder="1" applyProtection="1"/>
    <xf numFmtId="0" fontId="11" fillId="2" borderId="3" xfId="0" applyFont="1" applyFill="1" applyBorder="1" applyProtection="1"/>
    <xf numFmtId="0" fontId="16" fillId="4" borderId="0" xfId="0" applyFont="1" applyFill="1" applyBorder="1" applyAlignment="1" applyProtection="1">
      <alignment horizontal="center"/>
    </xf>
    <xf numFmtId="0" fontId="11" fillId="5" borderId="0" xfId="0" applyFont="1" applyFill="1" applyBorder="1" applyAlignment="1" applyProtection="1">
      <alignment horizontal="center" vertical="center"/>
    </xf>
    <xf numFmtId="0" fontId="11" fillId="5" borderId="0" xfId="0" applyFont="1" applyFill="1" applyAlignment="1" applyProtection="1">
      <alignment vertical="center"/>
    </xf>
    <xf numFmtId="0" fontId="11" fillId="3" borderId="0" xfId="0" applyFont="1" applyFill="1" applyBorder="1" applyAlignment="1" applyProtection="1">
      <alignment horizontal="center" vertical="center"/>
    </xf>
    <xf numFmtId="0" fontId="11" fillId="2" borderId="0" xfId="0" applyFont="1" applyFill="1" applyAlignment="1" applyProtection="1">
      <alignment vertical="center"/>
    </xf>
    <xf numFmtId="0" fontId="11" fillId="2" borderId="18" xfId="0" applyFont="1" applyFill="1" applyBorder="1" applyProtection="1"/>
    <xf numFmtId="0" fontId="11" fillId="6" borderId="0" xfId="0" applyFont="1" applyFill="1" applyAlignment="1" applyProtection="1">
      <alignment horizontal="right"/>
    </xf>
    <xf numFmtId="0" fontId="15" fillId="6" borderId="0" xfId="0" applyFont="1" applyFill="1" applyAlignment="1" applyProtection="1">
      <alignment horizontal="left"/>
    </xf>
    <xf numFmtId="0" fontId="16" fillId="2" borderId="0" xfId="0" applyFont="1" applyFill="1" applyBorder="1" applyAlignment="1" applyProtection="1">
      <alignment horizontal="center" vertical="center"/>
    </xf>
    <xf numFmtId="0" fontId="13" fillId="6" borderId="0" xfId="0" applyFont="1" applyFill="1" applyAlignment="1" applyProtection="1">
      <alignment horizontal="center"/>
    </xf>
    <xf numFmtId="0" fontId="11" fillId="2" borderId="0" xfId="0" applyFont="1" applyFill="1" applyAlignment="1" applyProtection="1">
      <alignment horizontal="center" vertical="center"/>
    </xf>
    <xf numFmtId="0" fontId="11" fillId="2" borderId="0" xfId="0" applyFont="1" applyFill="1" applyAlignment="1" applyProtection="1">
      <alignment horizontal="center"/>
    </xf>
    <xf numFmtId="0" fontId="18"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horizontal="left"/>
    </xf>
    <xf numFmtId="164" fontId="14" fillId="9" borderId="0" xfId="0" applyNumberFormat="1" applyFont="1" applyFill="1" applyAlignment="1" applyProtection="1">
      <alignment horizontal="center" vertical="center"/>
    </xf>
    <xf numFmtId="0" fontId="0" fillId="2" borderId="0" xfId="0" applyFont="1" applyFill="1" applyAlignment="1" applyProtection="1">
      <alignment vertical="center"/>
    </xf>
    <xf numFmtId="0" fontId="11" fillId="2" borderId="0" xfId="0" applyFont="1" applyFill="1" applyBorder="1" applyAlignment="1" applyProtection="1">
      <alignment horizontal="center"/>
    </xf>
    <xf numFmtId="0" fontId="17" fillId="2" borderId="0" xfId="0" applyFont="1" applyFill="1" applyProtection="1"/>
    <xf numFmtId="0" fontId="11" fillId="2" borderId="0" xfId="0" applyFont="1" applyFill="1" applyBorder="1" applyAlignment="1" applyProtection="1">
      <alignment horizontal="left"/>
    </xf>
    <xf numFmtId="0" fontId="11" fillId="2" borderId="0" xfId="0" applyFont="1" applyFill="1" applyBorder="1" applyAlignment="1" applyProtection="1">
      <alignment horizontal="center" vertical="center"/>
    </xf>
    <xf numFmtId="0" fontId="16" fillId="5" borderId="0" xfId="0" applyFont="1" applyFill="1" applyAlignment="1" applyProtection="1">
      <alignment horizontal="center" vertical="center"/>
      <protection locked="0"/>
    </xf>
    <xf numFmtId="0" fontId="16" fillId="2" borderId="0" xfId="0" applyFont="1" applyFill="1" applyAlignment="1" applyProtection="1">
      <alignment horizontal="center" vertical="center"/>
    </xf>
    <xf numFmtId="0" fontId="11" fillId="2" borderId="0" xfId="0" applyFont="1" applyFill="1" applyBorder="1" applyAlignment="1" applyProtection="1"/>
    <xf numFmtId="0" fontId="9" fillId="2" borderId="0" xfId="0" applyFont="1" applyFill="1" applyAlignment="1" applyProtection="1"/>
    <xf numFmtId="0" fontId="9" fillId="2" borderId="0" xfId="0" applyFont="1" applyFill="1" applyBorder="1" applyProtection="1"/>
    <xf numFmtId="0" fontId="10" fillId="2" borderId="0" xfId="0" applyFont="1" applyFill="1" applyBorder="1" applyProtection="1"/>
    <xf numFmtId="0" fontId="0" fillId="2" borderId="16" xfId="0" applyFill="1" applyBorder="1"/>
    <xf numFmtId="0" fontId="0" fillId="2" borderId="0" xfId="0" applyFill="1" applyAlignment="1">
      <alignment horizontal="right"/>
    </xf>
    <xf numFmtId="0" fontId="0" fillId="2" borderId="0" xfId="0" applyFill="1" applyBorder="1"/>
    <xf numFmtId="0" fontId="21" fillId="0" borderId="0" xfId="0" applyFont="1"/>
    <xf numFmtId="0" fontId="0" fillId="2" borderId="0" xfId="0" applyFont="1" applyFill="1" applyBorder="1" applyAlignment="1" applyProtection="1">
      <alignment horizontal="right" vertical="center"/>
    </xf>
    <xf numFmtId="0" fontId="24" fillId="0" borderId="0" xfId="1"/>
    <xf numFmtId="0" fontId="25" fillId="2" borderId="0" xfId="0" applyFont="1" applyFill="1" applyAlignment="1">
      <alignment horizontal="right"/>
    </xf>
    <xf numFmtId="0" fontId="0" fillId="2" borderId="0" xfId="0" applyFill="1" applyAlignment="1">
      <alignment vertical="center"/>
    </xf>
    <xf numFmtId="0" fontId="29" fillId="2" borderId="0" xfId="0" applyFont="1" applyFill="1"/>
    <xf numFmtId="0" fontId="0" fillId="0" borderId="32" xfId="0" applyBorder="1"/>
    <xf numFmtId="0" fontId="0" fillId="0" borderId="33" xfId="0" applyBorder="1"/>
    <xf numFmtId="0" fontId="0" fillId="0" borderId="34" xfId="0" applyBorder="1"/>
    <xf numFmtId="0" fontId="0" fillId="0" borderId="0" xfId="0" applyAlignment="1">
      <alignment horizontal="right"/>
    </xf>
    <xf numFmtId="0" fontId="0" fillId="2" borderId="0" xfId="0" applyFont="1" applyFill="1"/>
    <xf numFmtId="0" fontId="0" fillId="2" borderId="0" xfId="0" applyFont="1" applyFill="1" applyAlignment="1">
      <alignment horizontal="center"/>
    </xf>
    <xf numFmtId="0" fontId="0" fillId="2" borderId="0" xfId="0" applyFont="1" applyFill="1" applyBorder="1"/>
    <xf numFmtId="0" fontId="0" fillId="2" borderId="0" xfId="0" applyFont="1" applyFill="1" applyProtection="1"/>
    <xf numFmtId="0" fontId="0" fillId="2" borderId="0" xfId="0" applyFont="1" applyFill="1" applyBorder="1" applyProtection="1"/>
    <xf numFmtId="0" fontId="18" fillId="2" borderId="0" xfId="0" applyFont="1" applyFill="1" applyAlignment="1" applyProtection="1">
      <alignment horizontal="center"/>
    </xf>
    <xf numFmtId="0" fontId="0" fillId="2" borderId="0" xfId="0" applyFill="1" applyProtection="1"/>
    <xf numFmtId="0" fontId="0" fillId="2" borderId="0" xfId="0" applyFill="1" applyAlignment="1" applyProtection="1">
      <alignment horizontal="right"/>
    </xf>
    <xf numFmtId="0" fontId="0" fillId="2" borderId="16" xfId="0" applyFill="1" applyBorder="1" applyProtection="1"/>
    <xf numFmtId="0" fontId="0" fillId="2" borderId="0" xfId="0" applyFill="1" applyAlignment="1" applyProtection="1"/>
    <xf numFmtId="0" fontId="6" fillId="2" borderId="0" xfId="0" applyFont="1" applyFill="1" applyAlignment="1" applyProtection="1">
      <alignment vertical="center"/>
    </xf>
    <xf numFmtId="0" fontId="11" fillId="2" borderId="0" xfId="0" applyFont="1" applyFill="1" applyAlignment="1">
      <alignment vertical="top" wrapText="1"/>
    </xf>
    <xf numFmtId="0" fontId="3" fillId="2" borderId="0" xfId="0" applyFont="1" applyFill="1"/>
    <xf numFmtId="0" fontId="33" fillId="2" borderId="0" xfId="0" applyFont="1" applyFill="1"/>
    <xf numFmtId="0" fontId="6" fillId="2" borderId="16" xfId="0" applyFont="1" applyFill="1" applyBorder="1" applyAlignment="1">
      <alignment horizontal="left"/>
    </xf>
    <xf numFmtId="0" fontId="0" fillId="2" borderId="0" xfId="0" applyFont="1" applyFill="1" applyAlignment="1" applyProtection="1">
      <alignment horizontal="right"/>
    </xf>
    <xf numFmtId="0" fontId="0" fillId="2" borderId="16" xfId="0" applyFont="1" applyFill="1" applyBorder="1" applyProtection="1"/>
    <xf numFmtId="0" fontId="29" fillId="2" borderId="0" xfId="0" applyFont="1" applyFill="1" applyAlignment="1">
      <alignment horizontal="center" vertical="center" textRotation="90"/>
    </xf>
    <xf numFmtId="0" fontId="33" fillId="2" borderId="0" xfId="0" applyFont="1" applyFill="1" applyBorder="1" applyAlignment="1">
      <alignment horizontal="right"/>
    </xf>
    <xf numFmtId="0" fontId="33" fillId="2" borderId="0" xfId="0" applyFont="1" applyFill="1" applyBorder="1" applyAlignment="1">
      <alignment horizontal="right" vertical="top"/>
    </xf>
    <xf numFmtId="0" fontId="0" fillId="2" borderId="0" xfId="0" applyFont="1" applyFill="1" applyAlignment="1">
      <alignment horizontal="left"/>
    </xf>
    <xf numFmtId="0" fontId="0" fillId="2" borderId="0" xfId="0" applyFont="1" applyFill="1" applyAlignment="1">
      <alignment horizontal="right"/>
    </xf>
    <xf numFmtId="0" fontId="0" fillId="2" borderId="0" xfId="0" applyFont="1" applyFill="1" applyBorder="1" applyAlignment="1">
      <alignment vertical="center"/>
    </xf>
    <xf numFmtId="0" fontId="0" fillId="2" borderId="16" xfId="0" applyFont="1" applyFill="1" applyBorder="1"/>
    <xf numFmtId="0" fontId="3" fillId="2" borderId="16" xfId="0" applyFont="1" applyFill="1" applyBorder="1"/>
    <xf numFmtId="0" fontId="0" fillId="2" borderId="0" xfId="0" applyFont="1" applyFill="1" applyAlignment="1" applyProtection="1">
      <alignment horizontal="center"/>
    </xf>
    <xf numFmtId="0" fontId="3" fillId="2" borderId="0" xfId="0" applyFont="1" applyFill="1" applyProtection="1"/>
    <xf numFmtId="0" fontId="32" fillId="2" borderId="0" xfId="0" applyFont="1" applyFill="1" applyAlignment="1">
      <alignment textRotation="90"/>
    </xf>
    <xf numFmtId="0" fontId="28" fillId="2" borderId="29" xfId="0" applyFont="1" applyFill="1" applyBorder="1" applyAlignment="1">
      <alignment vertical="center"/>
    </xf>
    <xf numFmtId="0" fontId="28" fillId="2" borderId="30" xfId="0" applyFont="1" applyFill="1" applyBorder="1" applyAlignment="1">
      <alignment vertical="center"/>
    </xf>
    <xf numFmtId="0" fontId="28" fillId="2" borderId="31" xfId="0" applyFont="1" applyFill="1" applyBorder="1" applyAlignment="1">
      <alignment vertical="center"/>
    </xf>
    <xf numFmtId="0" fontId="0" fillId="2" borderId="5" xfId="0" applyFont="1" applyFill="1" applyBorder="1" applyAlignment="1">
      <alignment vertical="center"/>
    </xf>
    <xf numFmtId="0" fontId="0" fillId="2" borderId="0" xfId="0" applyFont="1" applyFill="1" applyAlignment="1">
      <alignment vertical="center"/>
    </xf>
    <xf numFmtId="164" fontId="28" fillId="2" borderId="5" xfId="0" applyNumberFormat="1" applyFont="1" applyFill="1" applyBorder="1" applyAlignment="1">
      <alignment vertical="center"/>
    </xf>
    <xf numFmtId="164" fontId="28" fillId="2" borderId="0" xfId="0" applyNumberFormat="1" applyFont="1" applyFill="1" applyAlignment="1">
      <alignment vertical="center"/>
    </xf>
    <xf numFmtId="0" fontId="19" fillId="2" borderId="0" xfId="0" applyFont="1" applyFill="1" applyAlignment="1" applyProtection="1">
      <alignment vertical="center" textRotation="90"/>
    </xf>
    <xf numFmtId="0" fontId="11" fillId="2" borderId="0" xfId="0" applyFont="1" applyFill="1" applyBorder="1" applyAlignment="1" applyProtection="1">
      <alignment vertical="center" textRotation="90"/>
    </xf>
    <xf numFmtId="0" fontId="30" fillId="2" borderId="0" xfId="0" applyFont="1" applyFill="1" applyAlignment="1">
      <alignment horizontal="left"/>
    </xf>
    <xf numFmtId="0" fontId="30" fillId="2" borderId="0" xfId="0" applyFont="1" applyFill="1" applyAlignment="1">
      <alignment horizontal="right"/>
    </xf>
    <xf numFmtId="0" fontId="0" fillId="0" borderId="28" xfId="0" applyBorder="1"/>
    <xf numFmtId="0" fontId="0" fillId="0" borderId="28" xfId="0" applyBorder="1" applyAlignment="1">
      <alignment horizontal="left"/>
    </xf>
    <xf numFmtId="0" fontId="0" fillId="0" borderId="35" xfId="0" applyBorder="1"/>
    <xf numFmtId="0" fontId="0" fillId="0" borderId="36" xfId="0" applyBorder="1"/>
    <xf numFmtId="0" fontId="0" fillId="0" borderId="37" xfId="0" applyBorder="1"/>
    <xf numFmtId="0" fontId="0" fillId="11" borderId="0" xfId="0" applyFill="1"/>
    <xf numFmtId="1" fontId="0" fillId="0" borderId="13" xfId="0" applyNumberFormat="1" applyBorder="1"/>
    <xf numFmtId="165" fontId="0" fillId="8" borderId="15" xfId="0" applyNumberFormat="1" applyFill="1" applyBorder="1"/>
    <xf numFmtId="165" fontId="0" fillId="8" borderId="17" xfId="0" applyNumberFormat="1" applyFill="1" applyBorder="1"/>
    <xf numFmtId="1" fontId="0" fillId="12" borderId="0" xfId="0" applyNumberFormat="1" applyFill="1"/>
    <xf numFmtId="0" fontId="0" fillId="12" borderId="0" xfId="0" applyFill="1"/>
    <xf numFmtId="1" fontId="0" fillId="0" borderId="0" xfId="0" applyNumberFormat="1" applyFill="1"/>
    <xf numFmtId="0" fontId="0" fillId="0" borderId="0" xfId="0" applyFill="1"/>
    <xf numFmtId="0" fontId="34" fillId="0" borderId="0" xfId="0" applyFont="1" applyAlignment="1">
      <alignment vertical="center"/>
    </xf>
    <xf numFmtId="0" fontId="35" fillId="2" borderId="0" xfId="0" applyFont="1" applyFill="1" applyProtection="1"/>
    <xf numFmtId="0" fontId="36" fillId="2" borderId="0" xfId="0" applyFont="1" applyFill="1" applyProtection="1"/>
    <xf numFmtId="0" fontId="35" fillId="2" borderId="0" xfId="0" applyFont="1" applyFill="1" applyBorder="1" applyProtection="1"/>
    <xf numFmtId="0" fontId="18" fillId="2" borderId="0" xfId="0" applyFont="1" applyFill="1" applyAlignment="1" applyProtection="1">
      <alignment horizontal="right"/>
    </xf>
    <xf numFmtId="0" fontId="18" fillId="2" borderId="0" xfId="0" applyFont="1" applyFill="1" applyBorder="1" applyAlignment="1" applyProtection="1">
      <alignment horizontal="right" vertical="center"/>
    </xf>
    <xf numFmtId="0" fontId="18" fillId="2" borderId="6" xfId="0" applyFont="1" applyFill="1" applyBorder="1" applyAlignment="1" applyProtection="1">
      <alignment horizontal="center" vertical="center"/>
      <protection locked="0"/>
    </xf>
    <xf numFmtId="0" fontId="37" fillId="2" borderId="0" xfId="0" applyFont="1" applyFill="1" applyAlignment="1" applyProtection="1"/>
    <xf numFmtId="0" fontId="18" fillId="2" borderId="0" xfId="0" applyFont="1" applyFill="1" applyProtection="1"/>
    <xf numFmtId="0" fontId="19" fillId="2" borderId="0" xfId="0" applyFont="1" applyFill="1" applyAlignment="1" applyProtection="1">
      <alignment horizontal="right"/>
    </xf>
    <xf numFmtId="0" fontId="19" fillId="2" borderId="0" xfId="0" applyFont="1" applyFill="1" applyProtection="1"/>
    <xf numFmtId="0" fontId="18" fillId="2" borderId="20" xfId="0" applyFont="1" applyFill="1" applyBorder="1" applyAlignment="1" applyProtection="1">
      <alignment horizontal="center"/>
      <protection locked="0"/>
    </xf>
    <xf numFmtId="0" fontId="18" fillId="2" borderId="27" xfId="0" applyFont="1" applyFill="1" applyBorder="1" applyAlignment="1" applyProtection="1">
      <alignment horizontal="left"/>
    </xf>
    <xf numFmtId="0" fontId="18" fillId="2" borderId="25" xfId="0" applyFont="1" applyFill="1" applyBorder="1" applyAlignment="1" applyProtection="1">
      <alignment horizontal="left"/>
    </xf>
    <xf numFmtId="0" fontId="18" fillId="2" borderId="26" xfId="0" applyFont="1" applyFill="1" applyBorder="1" applyAlignment="1" applyProtection="1">
      <alignment horizontal="center"/>
      <protection locked="0"/>
    </xf>
    <xf numFmtId="0" fontId="19" fillId="2" borderId="7" xfId="0" applyFont="1" applyFill="1" applyBorder="1" applyAlignment="1" applyProtection="1">
      <alignment horizontal="center"/>
    </xf>
    <xf numFmtId="0" fontId="18" fillId="2" borderId="22" xfId="0" applyFont="1" applyFill="1" applyBorder="1" applyAlignment="1" applyProtection="1">
      <alignment horizontal="center"/>
      <protection locked="0"/>
    </xf>
    <xf numFmtId="0" fontId="18" fillId="2" borderId="8" xfId="0" applyFont="1" applyFill="1" applyBorder="1" applyAlignment="1" applyProtection="1">
      <alignment horizontal="center"/>
    </xf>
    <xf numFmtId="0" fontId="18" fillId="2" borderId="9" xfId="0" applyFont="1" applyFill="1" applyBorder="1" applyAlignment="1" applyProtection="1">
      <alignment horizontal="center"/>
    </xf>
    <xf numFmtId="0" fontId="18" fillId="2" borderId="17" xfId="0" applyFont="1" applyFill="1" applyBorder="1" applyAlignment="1" applyProtection="1">
      <alignment horizontal="center"/>
      <protection locked="0"/>
    </xf>
    <xf numFmtId="0" fontId="18" fillId="2" borderId="0" xfId="0" applyFont="1" applyFill="1" applyAlignment="1" applyProtection="1">
      <alignment horizontal="left"/>
    </xf>
    <xf numFmtId="0" fontId="18" fillId="2" borderId="0" xfId="0" applyFont="1" applyFill="1" applyBorder="1" applyAlignment="1" applyProtection="1">
      <alignment horizontal="center"/>
    </xf>
    <xf numFmtId="0" fontId="18" fillId="2" borderId="0" xfId="0" applyFont="1" applyFill="1" applyBorder="1" applyProtection="1"/>
    <xf numFmtId="0" fontId="19" fillId="2" borderId="0" xfId="0" applyFont="1" applyFill="1" applyAlignment="1" applyProtection="1">
      <alignment horizontal="center" vertical="center" textRotation="90"/>
    </xf>
    <xf numFmtId="0" fontId="19" fillId="2" borderId="0" xfId="0" applyFont="1" applyFill="1" applyAlignment="1" applyProtection="1">
      <alignment horizontal="center" vertical="center"/>
    </xf>
    <xf numFmtId="0" fontId="19" fillId="2" borderId="0" xfId="0" applyFont="1" applyFill="1" applyBorder="1" applyAlignment="1" applyProtection="1">
      <alignment horizontal="center" vertical="center"/>
    </xf>
    <xf numFmtId="0" fontId="19" fillId="2" borderId="0" xfId="0" applyFont="1" applyFill="1" applyBorder="1" applyAlignment="1" applyProtection="1">
      <alignment horizontal="center"/>
    </xf>
    <xf numFmtId="0" fontId="18" fillId="2" borderId="0" xfId="0" applyFont="1" applyFill="1" applyBorder="1" applyAlignment="1" applyProtection="1">
      <alignment horizontal="center" vertical="center"/>
    </xf>
    <xf numFmtId="0" fontId="18" fillId="2" borderId="0" xfId="0" applyFont="1" applyFill="1" applyAlignment="1" applyProtection="1">
      <alignment vertical="center"/>
    </xf>
    <xf numFmtId="0" fontId="18" fillId="2" borderId="0" xfId="0" applyFont="1" applyFill="1" applyBorder="1" applyAlignment="1" applyProtection="1">
      <alignment horizontal="left"/>
    </xf>
    <xf numFmtId="0" fontId="19" fillId="2" borderId="0" xfId="0" applyFont="1" applyFill="1" applyAlignment="1" applyProtection="1">
      <alignment horizontal="left"/>
    </xf>
    <xf numFmtId="0" fontId="19" fillId="2" borderId="0" xfId="0" applyFont="1" applyFill="1" applyBorder="1" applyAlignment="1" applyProtection="1">
      <alignment horizontal="center" vertical="center"/>
      <protection locked="0"/>
    </xf>
    <xf numFmtId="0" fontId="19" fillId="2" borderId="0" xfId="0" applyFont="1" applyFill="1" applyAlignment="1" applyProtection="1">
      <alignment horizontal="center" vertical="center"/>
      <protection locked="0"/>
    </xf>
    <xf numFmtId="0" fontId="19" fillId="2" borderId="0" xfId="0" applyFont="1" applyFill="1" applyAlignment="1" applyProtection="1">
      <alignment horizontal="center"/>
      <protection locked="0"/>
    </xf>
    <xf numFmtId="0" fontId="18" fillId="2" borderId="0" xfId="0" applyFont="1" applyFill="1" applyAlignment="1" applyProtection="1">
      <alignment horizontal="center" vertical="center"/>
    </xf>
    <xf numFmtId="0" fontId="18" fillId="2" borderId="0" xfId="0" applyFont="1" applyFill="1" applyAlignment="1" applyProtection="1">
      <alignment horizontal="center"/>
      <protection locked="0"/>
    </xf>
    <xf numFmtId="0" fontId="19" fillId="2" borderId="0" xfId="0" applyFont="1" applyFill="1" applyBorder="1" applyAlignment="1" applyProtection="1">
      <alignment horizontal="left"/>
    </xf>
    <xf numFmtId="0" fontId="0" fillId="0" borderId="28" xfId="0" quotePrefix="1" applyBorder="1"/>
    <xf numFmtId="0" fontId="28" fillId="2" borderId="0" xfId="0" applyFont="1" applyFill="1" applyProtection="1"/>
    <xf numFmtId="0" fontId="28" fillId="9" borderId="29" xfId="0" applyFont="1" applyFill="1" applyBorder="1" applyAlignment="1">
      <alignment vertical="center"/>
    </xf>
    <xf numFmtId="0" fontId="0" fillId="2" borderId="30" xfId="0" applyFont="1" applyFill="1" applyBorder="1" applyAlignment="1">
      <alignment vertical="center"/>
    </xf>
    <xf numFmtId="0" fontId="0" fillId="0" borderId="0" xfId="0" applyNumberFormat="1"/>
    <xf numFmtId="0" fontId="0" fillId="2" borderId="16" xfId="0" applyFont="1" applyFill="1" applyBorder="1" applyAlignment="1">
      <alignment horizontal="left" vertical="center"/>
    </xf>
    <xf numFmtId="0" fontId="0" fillId="2" borderId="16" xfId="0" applyFont="1" applyFill="1" applyBorder="1" applyAlignment="1">
      <alignment vertical="center"/>
    </xf>
    <xf numFmtId="0" fontId="33" fillId="2" borderId="16" xfId="0" applyFont="1" applyFill="1" applyBorder="1"/>
    <xf numFmtId="0" fontId="33" fillId="2" borderId="0" xfId="0" applyFont="1" applyFill="1" applyBorder="1"/>
    <xf numFmtId="0" fontId="38" fillId="0" borderId="28" xfId="0" applyFont="1" applyBorder="1"/>
    <xf numFmtId="0" fontId="39" fillId="13" borderId="0" xfId="0" applyFont="1" applyFill="1" applyAlignment="1">
      <alignment horizontal="center"/>
    </xf>
    <xf numFmtId="0" fontId="0" fillId="14" borderId="28" xfId="0" applyFill="1" applyBorder="1" applyAlignment="1">
      <alignment horizontal="center"/>
    </xf>
    <xf numFmtId="0" fontId="38" fillId="0" borderId="0" xfId="0" applyFont="1" applyBorder="1"/>
    <xf numFmtId="0" fontId="0" fillId="2" borderId="16" xfId="0" applyFont="1" applyFill="1" applyBorder="1" applyAlignment="1">
      <alignment horizontal="left"/>
    </xf>
    <xf numFmtId="0" fontId="0" fillId="0" borderId="0" xfId="0" applyAlignment="1">
      <alignment vertical="center"/>
    </xf>
    <xf numFmtId="0" fontId="40" fillId="0" borderId="0" xfId="0" applyFont="1"/>
    <xf numFmtId="0" fontId="0" fillId="5" borderId="0" xfId="0" applyFill="1"/>
    <xf numFmtId="0" fontId="0" fillId="15" borderId="0" xfId="0" applyFill="1"/>
    <xf numFmtId="0" fontId="0" fillId="7" borderId="0" xfId="0" applyFill="1"/>
    <xf numFmtId="0" fontId="31" fillId="7" borderId="0" xfId="0" applyFont="1" applyFill="1" applyAlignment="1">
      <alignment vertical="center"/>
    </xf>
    <xf numFmtId="0" fontId="6" fillId="7" borderId="0" xfId="0" applyFont="1" applyFill="1"/>
    <xf numFmtId="0" fontId="7" fillId="7" borderId="0" xfId="0" applyFont="1" applyFill="1"/>
    <xf numFmtId="0" fontId="0" fillId="0" borderId="0" xfId="0" applyFill="1" applyAlignment="1">
      <alignment wrapText="1"/>
    </xf>
    <xf numFmtId="0" fontId="0" fillId="0" borderId="0" xfId="0" applyAlignment="1">
      <alignment vertical="center" wrapText="1"/>
    </xf>
    <xf numFmtId="0" fontId="6" fillId="0" borderId="0" xfId="0" applyFont="1" applyAlignment="1">
      <alignment wrapText="1"/>
    </xf>
    <xf numFmtId="0" fontId="23" fillId="2" borderId="0" xfId="0" applyFont="1" applyFill="1" applyAlignment="1"/>
    <xf numFmtId="0" fontId="22" fillId="2" borderId="0" xfId="0" applyFont="1" applyFill="1" applyAlignment="1"/>
    <xf numFmtId="14" fontId="0" fillId="2" borderId="0" xfId="0" applyNumberFormat="1" applyFill="1" applyAlignment="1">
      <alignment horizontal="center"/>
    </xf>
    <xf numFmtId="14" fontId="0" fillId="2" borderId="0" xfId="0" applyNumberFormat="1" applyFill="1" applyAlignment="1">
      <alignment horizontal="left"/>
    </xf>
    <xf numFmtId="0" fontId="27" fillId="2" borderId="0" xfId="0" applyFont="1" applyFill="1" applyBorder="1" applyAlignment="1">
      <alignment horizontal="left" vertical="top" wrapText="1"/>
    </xf>
    <xf numFmtId="0" fontId="26" fillId="0" borderId="0" xfId="0" applyFont="1" applyFill="1" applyBorder="1" applyAlignment="1">
      <alignment horizontal="left" vertical="top" wrapText="1"/>
    </xf>
    <xf numFmtId="0" fontId="22" fillId="2" borderId="0" xfId="0" applyFont="1" applyFill="1" applyAlignment="1">
      <alignment horizontal="center"/>
    </xf>
    <xf numFmtId="0" fontId="23" fillId="2" borderId="0" xfId="0" applyFont="1" applyFill="1" applyAlignment="1">
      <alignment horizontal="center"/>
    </xf>
    <xf numFmtId="0" fontId="27" fillId="2" borderId="0" xfId="0" applyFont="1" applyFill="1" applyAlignment="1">
      <alignment horizontal="left" vertical="top" wrapText="1"/>
    </xf>
    <xf numFmtId="0" fontId="0" fillId="2" borderId="0" xfId="0" applyFill="1" applyAlignment="1">
      <alignment horizontal="center"/>
    </xf>
    <xf numFmtId="0" fontId="29" fillId="2" borderId="0" xfId="0" applyFont="1" applyFill="1" applyAlignment="1">
      <alignment horizontal="center"/>
    </xf>
    <xf numFmtId="0" fontId="28" fillId="2" borderId="0" xfId="0" applyFont="1" applyFill="1" applyBorder="1" applyAlignment="1" applyProtection="1">
      <alignment horizontal="center"/>
      <protection locked="0"/>
    </xf>
    <xf numFmtId="0" fontId="30" fillId="2" borderId="0" xfId="0" applyFont="1" applyFill="1" applyAlignment="1">
      <alignment horizontal="left"/>
    </xf>
    <xf numFmtId="0" fontId="30" fillId="2" borderId="0" xfId="0" applyFont="1" applyFill="1" applyAlignment="1">
      <alignment horizontal="right"/>
    </xf>
    <xf numFmtId="0" fontId="20" fillId="10" borderId="0" xfId="0" applyFont="1" applyFill="1" applyAlignment="1">
      <alignment horizontal="center" shrinkToFit="1"/>
    </xf>
    <xf numFmtId="0" fontId="23" fillId="2" borderId="0" xfId="0" applyFont="1" applyFill="1" applyAlignment="1">
      <alignment horizontal="left" vertical="top" wrapText="1"/>
    </xf>
    <xf numFmtId="0" fontId="0" fillId="2" borderId="0" xfId="0" applyFill="1" applyBorder="1" applyAlignment="1">
      <alignment horizontal="center"/>
    </xf>
    <xf numFmtId="1" fontId="28" fillId="2" borderId="0" xfId="0" applyNumberFormat="1" applyFont="1" applyFill="1" applyBorder="1" applyAlignment="1" applyProtection="1">
      <alignment horizontal="center"/>
      <protection locked="0"/>
    </xf>
    <xf numFmtId="0" fontId="15" fillId="2" borderId="0" xfId="0" applyFont="1" applyFill="1" applyAlignment="1">
      <alignment horizontal="center" vertical="top" wrapText="1"/>
    </xf>
    <xf numFmtId="0" fontId="32" fillId="2" borderId="0" xfId="0" applyFont="1" applyFill="1" applyBorder="1" applyAlignment="1" applyProtection="1">
      <alignment horizontal="center"/>
      <protection locked="0"/>
    </xf>
    <xf numFmtId="0" fontId="0" fillId="2" borderId="0" xfId="0" applyFill="1" applyAlignment="1" applyProtection="1">
      <alignment horizontal="center"/>
    </xf>
    <xf numFmtId="0" fontId="0" fillId="2" borderId="0" xfId="0" applyFill="1" applyAlignment="1" applyProtection="1">
      <alignment horizontal="left"/>
    </xf>
    <xf numFmtId="0" fontId="20" fillId="10" borderId="0" xfId="0" applyFont="1" applyFill="1" applyAlignment="1" applyProtection="1">
      <alignment horizontal="center" shrinkToFit="1"/>
    </xf>
    <xf numFmtId="0" fontId="6" fillId="2" borderId="0" xfId="0" applyFont="1" applyFill="1" applyAlignment="1" applyProtection="1">
      <alignment horizontal="center" vertical="center"/>
    </xf>
    <xf numFmtId="0" fontId="0" fillId="2" borderId="30" xfId="0" applyFont="1" applyFill="1" applyBorder="1"/>
    <xf numFmtId="164" fontId="28" fillId="2" borderId="0" xfId="0" applyNumberFormat="1" applyFont="1" applyFill="1" applyBorder="1" applyAlignment="1">
      <alignment horizontal="center" vertical="center"/>
    </xf>
    <xf numFmtId="0" fontId="28" fillId="9" borderId="28" xfId="0" applyFont="1" applyFill="1" applyBorder="1" applyAlignment="1">
      <alignment horizontal="left" vertical="center"/>
    </xf>
    <xf numFmtId="0" fontId="0" fillId="2" borderId="0" xfId="0" applyFont="1" applyFill="1" applyBorder="1" applyAlignment="1" applyProtection="1">
      <alignment horizontal="center"/>
    </xf>
    <xf numFmtId="0" fontId="28" fillId="9" borderId="28" xfId="0" applyFont="1" applyFill="1" applyBorder="1" applyAlignment="1">
      <alignment horizontal="center" vertical="center"/>
    </xf>
    <xf numFmtId="0" fontId="0" fillId="2" borderId="0" xfId="0" applyFont="1" applyFill="1" applyBorder="1" applyAlignment="1">
      <alignment horizontal="left" vertical="center" textRotation="90"/>
    </xf>
    <xf numFmtId="164" fontId="28" fillId="2" borderId="16" xfId="0" applyNumberFormat="1" applyFont="1" applyFill="1" applyBorder="1" applyAlignment="1">
      <alignment horizontal="left" vertical="center"/>
    </xf>
    <xf numFmtId="0" fontId="0" fillId="2" borderId="30" xfId="0" applyFont="1" applyFill="1" applyBorder="1" applyAlignment="1">
      <alignment vertical="center"/>
    </xf>
    <xf numFmtId="0" fontId="0" fillId="0" borderId="30" xfId="0" applyBorder="1" applyAlignment="1">
      <alignment horizontal="left"/>
    </xf>
    <xf numFmtId="0" fontId="0" fillId="2" borderId="30" xfId="0" applyFont="1" applyFill="1" applyBorder="1" applyAlignment="1" applyProtection="1">
      <alignment horizontal="left" vertical="center"/>
    </xf>
    <xf numFmtId="0" fontId="0" fillId="2" borderId="30" xfId="0" applyFont="1" applyFill="1" applyBorder="1" applyAlignment="1" applyProtection="1">
      <alignment horizontal="center" vertical="center"/>
    </xf>
    <xf numFmtId="0" fontId="0" fillId="2" borderId="0" xfId="0" applyFont="1" applyFill="1" applyAlignment="1" applyProtection="1">
      <alignment horizontal="center"/>
    </xf>
    <xf numFmtId="0" fontId="28" fillId="9" borderId="28" xfId="0" applyFont="1" applyFill="1" applyBorder="1" applyAlignment="1" applyProtection="1">
      <alignment horizontal="center" vertical="center"/>
    </xf>
    <xf numFmtId="0" fontId="0" fillId="2" borderId="30" xfId="0" applyFont="1" applyFill="1" applyBorder="1" applyAlignment="1" applyProtection="1">
      <alignment horizontal="center"/>
    </xf>
    <xf numFmtId="0" fontId="26" fillId="0" borderId="11" xfId="0" applyFont="1" applyFill="1" applyBorder="1" applyAlignment="1">
      <alignment horizontal="left" vertical="top" wrapText="1"/>
    </xf>
    <xf numFmtId="0" fontId="18" fillId="2" borderId="0" xfId="0" applyFont="1" applyFill="1" applyBorder="1" applyAlignment="1" applyProtection="1">
      <alignment horizontal="center"/>
    </xf>
    <xf numFmtId="0" fontId="18" fillId="2" borderId="0" xfId="0" applyFont="1" applyFill="1" applyAlignment="1" applyProtection="1">
      <alignment horizontal="center" vertical="center"/>
    </xf>
    <xf numFmtId="0" fontId="18" fillId="2" borderId="19" xfId="0" applyFont="1" applyFill="1" applyBorder="1" applyAlignment="1" applyProtection="1">
      <alignment horizontal="left"/>
    </xf>
    <xf numFmtId="0" fontId="18" fillId="2" borderId="2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16" xfId="0" applyFont="1" applyFill="1" applyBorder="1" applyAlignment="1" applyProtection="1">
      <alignment horizontal="left"/>
    </xf>
    <xf numFmtId="0" fontId="18" fillId="2" borderId="21" xfId="0" applyFont="1" applyFill="1" applyBorder="1" applyAlignment="1" applyProtection="1">
      <alignment horizontal="left"/>
    </xf>
    <xf numFmtId="0" fontId="18" fillId="2" borderId="24" xfId="0" applyFont="1" applyFill="1" applyBorder="1" applyAlignment="1" applyProtection="1">
      <alignment horizontal="left"/>
    </xf>
    <xf numFmtId="0" fontId="18" fillId="2" borderId="0" xfId="0" applyFont="1" applyFill="1" applyAlignment="1" applyProtection="1">
      <alignment horizontal="center"/>
    </xf>
    <xf numFmtId="0" fontId="19" fillId="2" borderId="0" xfId="0" applyFont="1" applyFill="1" applyAlignment="1" applyProtection="1">
      <alignment horizontal="center" vertical="center" textRotation="90"/>
    </xf>
    <xf numFmtId="0" fontId="11" fillId="2" borderId="29" xfId="0" applyFont="1" applyFill="1" applyBorder="1" applyAlignment="1" applyProtection="1">
      <alignment horizontal="center" vertical="center"/>
    </xf>
    <xf numFmtId="0" fontId="11" fillId="2" borderId="30" xfId="0"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1" fillId="2" borderId="0" xfId="0" applyFont="1" applyFill="1" applyBorder="1" applyAlignment="1" applyProtection="1">
      <alignment horizontal="center"/>
    </xf>
    <xf numFmtId="164" fontId="14" fillId="9" borderId="5" xfId="0" applyNumberFormat="1" applyFont="1" applyFill="1" applyBorder="1" applyAlignment="1" applyProtection="1">
      <alignment horizontal="center" vertical="center"/>
    </xf>
    <xf numFmtId="0" fontId="17" fillId="2" borderId="0" xfId="0" applyFont="1" applyFill="1" applyBorder="1" applyAlignment="1" applyProtection="1">
      <alignment horizontal="right" vertical="center" textRotation="180"/>
    </xf>
    <xf numFmtId="0" fontId="11" fillId="2" borderId="0" xfId="0" applyFont="1" applyFill="1" applyAlignment="1" applyProtection="1">
      <alignment horizontal="right" vertical="center"/>
    </xf>
    <xf numFmtId="0" fontId="19" fillId="2" borderId="0" xfId="0" applyFont="1" applyFill="1" applyAlignment="1" applyProtection="1">
      <alignment horizontal="left" vertical="center" textRotation="180"/>
    </xf>
    <xf numFmtId="0" fontId="11" fillId="2" borderId="0" xfId="0" applyFont="1" applyFill="1" applyAlignment="1" applyProtection="1">
      <alignment horizontal="right"/>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5" fillId="2" borderId="0" xfId="0" applyFont="1" applyFill="1" applyAlignment="1">
      <alignment horizontal="center" vertical="center" textRotation="90"/>
    </xf>
    <xf numFmtId="0" fontId="4" fillId="2" borderId="0" xfId="0" applyFont="1" applyFill="1" applyBorder="1" applyAlignment="1">
      <alignment horizontal="left" vertical="center" textRotation="90"/>
    </xf>
  </cellXfs>
  <cellStyles count="2">
    <cellStyle name="Hiperłącze" xfId="1" builtinId="8"/>
    <cellStyle name="Normalny" xfId="0" builtinId="0"/>
  </cellStyles>
  <dxfs count="5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1"/>
        </patternFill>
      </fill>
    </dxf>
    <dxf>
      <fill>
        <patternFill>
          <bgColor theme="0"/>
        </patternFill>
      </fill>
    </dxf>
    <dxf>
      <fill>
        <patternFill>
          <bgColor theme="0"/>
        </patternFill>
      </fill>
    </dxf>
    <dxf>
      <fill>
        <patternFill>
          <bgColor theme="0"/>
        </patternFill>
      </fill>
    </dxf>
    <dxf>
      <fill>
        <patternFill>
          <bgColor theme="1"/>
        </patternFill>
      </fill>
    </dxf>
    <dxf>
      <fill>
        <patternFill>
          <bgColor theme="1"/>
        </patternFill>
      </fill>
    </dxf>
    <dxf>
      <fill>
        <patternFill>
          <bgColor theme="1"/>
        </patternFill>
      </fill>
    </dxf>
    <dxf>
      <fill>
        <patternFill>
          <bgColor theme="0" tint="-0.24994659260841701"/>
        </patternFill>
      </fill>
    </dxf>
    <dxf>
      <fill>
        <patternFill>
          <bgColor rgb="FF009900"/>
        </patternFill>
      </fill>
    </dxf>
    <dxf>
      <fill>
        <patternFill>
          <bgColor theme="0" tint="-0.24994659260841701"/>
        </patternFill>
      </fill>
    </dxf>
    <dxf>
      <fill>
        <patternFill>
          <bgColor rgb="FF009900"/>
        </patternFill>
      </fill>
    </dxf>
    <dxf>
      <fill>
        <patternFill>
          <bgColor theme="0" tint="-0.24994659260841701"/>
        </patternFill>
      </fill>
    </dxf>
    <dxf>
      <fill>
        <patternFill>
          <bgColor rgb="FF009900"/>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theme="0"/>
      </font>
    </dxf>
    <dxf>
      <font>
        <color theme="0"/>
      </font>
    </dxf>
    <dxf>
      <font>
        <color theme="0"/>
      </font>
    </dxf>
    <dxf>
      <font>
        <color theme="0"/>
      </font>
    </dxf>
    <dxf>
      <font>
        <color theme="0"/>
      </font>
    </dxf>
    <dxf>
      <font>
        <color theme="0"/>
      </font>
    </dxf>
    <dxf>
      <border>
        <left style="thin">
          <color rgb="FFFF0000"/>
        </left>
        <right style="thin">
          <color rgb="FFFF0000"/>
        </right>
        <top style="thin">
          <color rgb="FFFF0000"/>
        </top>
        <bottom style="thin">
          <color rgb="FFFF0000"/>
        </bottom>
        <vertical/>
        <horizontal/>
      </border>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008000"/>
      <color rgb="FF006600"/>
      <color rgb="FF336600"/>
      <color rgb="FF009900"/>
      <color rgb="FF339966"/>
      <color rgb="FF339933"/>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Drop" dropLines="10" dropStyle="combo" dx="16" fmlaLink="VIONARO!$G$4" fmlaRange="Formeln!$K$1:$K$11" sel="11"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Drop" dropLines="3" dropStyle="combo" dx="16" fmlaLink="Formeln!$N$1" fmlaRange="Formeln!$A$8:$A$10" noThreeD="1" sel="2" val="0"/>
</file>

<file path=xl/ctrlProps/ctrlProp13.xml><?xml version="1.0" encoding="utf-8"?>
<formControlPr xmlns="http://schemas.microsoft.com/office/spreadsheetml/2009/9/main" objectType="Scroll" dx="16" fmlaLink="$E$14" horiz="1" max="5" page="0" val="2"/>
</file>

<file path=xl/ctrlProps/ctrlProp14.xml><?xml version="1.0" encoding="utf-8"?>
<formControlPr xmlns="http://schemas.microsoft.com/office/spreadsheetml/2009/9/main" objectType="Scroll" dx="16" fmlaLink="$E$23" horiz="1" max="5" page="0"/>
</file>

<file path=xl/ctrlProps/ctrlProp15.xml><?xml version="1.0" encoding="utf-8"?>
<formControlPr xmlns="http://schemas.microsoft.com/office/spreadsheetml/2009/9/main" objectType="Scroll" dx="16" fmlaLink="$R$18" horiz="1" max="5" min="1" page="0"/>
</file>

<file path=xl/ctrlProps/ctrlProp16.xml><?xml version="1.0" encoding="utf-8"?>
<formControlPr xmlns="http://schemas.microsoft.com/office/spreadsheetml/2009/9/main" objectType="Scroll" dx="16" fmlaLink="$AC$14" horiz="1" max="5" page="0" val="2"/>
</file>

<file path=xl/ctrlProps/ctrlProp17.xml><?xml version="1.0" encoding="utf-8"?>
<formControlPr xmlns="http://schemas.microsoft.com/office/spreadsheetml/2009/9/main" objectType="Scroll" dx="16" fmlaLink="$AC$23" horiz="1" max="5" page="0"/>
</file>

<file path=xl/ctrlProps/ctrlProp18.xml><?xml version="1.0" encoding="utf-8"?>
<formControlPr xmlns="http://schemas.microsoft.com/office/spreadsheetml/2009/9/main" objectType="Drop" dropLines="6" dropStyle="combo" dx="16" fmlaLink="Formeln!$X$1" fmlaRange="Formeln!$B$37:$B$42" sel="1" val="0"/>
</file>

<file path=xl/ctrlProps/ctrlProp19.xml><?xml version="1.0" encoding="utf-8"?>
<formControlPr xmlns="http://schemas.microsoft.com/office/spreadsheetml/2009/9/main" objectType="Drop" dropLines="10" dropStyle="combo" dx="16" fmlaLink="Formeln!$AA$1" fmlaRange="Formeln!$H$44:$H$53" sel="1" val="0"/>
</file>

<file path=xl/ctrlProps/ctrlProp2.xml><?xml version="1.0" encoding="utf-8"?>
<formControlPr xmlns="http://schemas.microsoft.com/office/spreadsheetml/2009/9/main" objectType="Radio" firstButton="1" fmlaLink="Formeln!$R$1" lockText="1" noThreeD="1"/>
</file>

<file path=xl/ctrlProps/ctrlProp20.xml><?xml version="1.0" encoding="utf-8"?>
<formControlPr xmlns="http://schemas.microsoft.com/office/spreadsheetml/2009/9/main" objectType="Drop" dropLines="5" dropStyle="combo" dx="16" fmlaLink="Formeln!$AD$1" fmlaRange="Formeln!$AM$38:$AM$42" sel="1" val="0"/>
</file>

<file path=xl/ctrlProps/ctrlProp21.xml><?xml version="1.0" encoding="utf-8"?>
<formControlPr xmlns="http://schemas.microsoft.com/office/spreadsheetml/2009/9/main" objectType="Drop" dropLines="3" dropStyle="combo" dx="16" fmlaLink="Formeln!$AG$1" fmlaRange="Formeln!$E$7:$E$9" sel="1" val="0"/>
</file>

<file path=xl/ctrlProps/ctrlProp22.xml><?xml version="1.0" encoding="utf-8"?>
<formControlPr xmlns="http://schemas.microsoft.com/office/spreadsheetml/2009/9/main" objectType="Drop" dropLines="4" dropStyle="combo" dx="16" fmlaLink="Formeln!$AJ$1" fmlaRange="Formeln!$G$44:$G$47" sel="1" val="0"/>
</file>

<file path=xl/ctrlProps/ctrlProp23.xml><?xml version="1.0" encoding="utf-8"?>
<formControlPr xmlns="http://schemas.microsoft.com/office/spreadsheetml/2009/9/main" objectType="Drop" dropLines="10" dropStyle="combo" dx="16" fmlaLink="Formeln!$AA$2" fmlaRange="Formeln!$I$44:$I$53" sel="1" val="0"/>
</file>

<file path=xl/ctrlProps/ctrlProp24.xml><?xml version="1.0" encoding="utf-8"?>
<formControlPr xmlns="http://schemas.microsoft.com/office/spreadsheetml/2009/9/main" objectType="Drop" dropLines="6" dropStyle="combo" dx="16" fmlaLink="Formeln!$AD$2" fmlaRange="Formeln!$AO$37:$AO$42" sel="1" val="0"/>
</file>

<file path=xl/ctrlProps/ctrlProp25.xml><?xml version="1.0" encoding="utf-8"?>
<formControlPr xmlns="http://schemas.microsoft.com/office/spreadsheetml/2009/9/main" objectType="Drop" dropLines="6" dropStyle="combo" dx="16" fmlaLink="Formeln!$X$2" fmlaRange="Formeln!$B$13:$B$18" sel="5" val="0"/>
</file>

<file path=xl/ctrlProps/ctrlProp26.xml><?xml version="1.0" encoding="utf-8"?>
<formControlPr xmlns="http://schemas.microsoft.com/office/spreadsheetml/2009/9/main" objectType="Drop" dropLines="10" dropStyle="combo" dx="16" fmlaLink="Formeln!$AA$3" fmlaRange="Formeln!$K$44:$K$53" sel="7" val="0"/>
</file>

<file path=xl/ctrlProps/ctrlProp27.xml><?xml version="1.0" encoding="utf-8"?>
<formControlPr xmlns="http://schemas.microsoft.com/office/spreadsheetml/2009/9/main" objectType="Drop" dropLines="5" dropStyle="combo" dx="16" fmlaLink="Formeln!$AD$3" fmlaRange="Formeln!$AM$14:$AM$18" sel="2" val="0"/>
</file>

<file path=xl/ctrlProps/ctrlProp28.xml><?xml version="1.0" encoding="utf-8"?>
<formControlPr xmlns="http://schemas.microsoft.com/office/spreadsheetml/2009/9/main" objectType="Drop" dropLines="3" dropStyle="combo" dx="16" fmlaLink="Formeln!$AG$2" fmlaRange="Formeln!$E$7:$E$9" sel="2" val="0"/>
</file>

<file path=xl/ctrlProps/ctrlProp29.xml><?xml version="1.0" encoding="utf-8"?>
<formControlPr xmlns="http://schemas.microsoft.com/office/spreadsheetml/2009/9/main" objectType="Drop" dropLines="4" dropStyle="combo" dx="16" fmlaLink="Formeln!$AJ$2" fmlaRange="Formeln!$J$44:$J$47" sel="4" val="0"/>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Drop" dropLines="10" dropStyle="combo" dx="16" fmlaLink="Formeln!$AA$4" fmlaRange="Formeln!$L$44:$L$53" sel="6" val="0"/>
</file>

<file path=xl/ctrlProps/ctrlProp31.xml><?xml version="1.0" encoding="utf-8"?>
<formControlPr xmlns="http://schemas.microsoft.com/office/spreadsheetml/2009/9/main" objectType="Drop" dropLines="6" dropStyle="combo" dx="16" fmlaLink="Formeln!$AD$4" fmlaRange="Formeln!$AO$13:$AO$18" sel="3" val="0"/>
</file>

<file path=xl/ctrlProps/ctrlProp32.xml><?xml version="1.0" encoding="utf-8"?>
<formControlPr xmlns="http://schemas.microsoft.com/office/spreadsheetml/2009/9/main" objectType="Drop" dropLines="6" dropStyle="combo" dx="16" fmlaLink="Formeln!$X$3" fmlaRange="Formeln!$B$21:$B$26" sel="3" val="0"/>
</file>

<file path=xl/ctrlProps/ctrlProp33.xml><?xml version="1.0" encoding="utf-8"?>
<formControlPr xmlns="http://schemas.microsoft.com/office/spreadsheetml/2009/9/main" objectType="Drop" dropLines="10" dropStyle="combo" dx="16" fmlaLink="Formeln!$AA$5" fmlaRange="Formeln!$N$44:$N$53" sel="7" val="0"/>
</file>

<file path=xl/ctrlProps/ctrlProp34.xml><?xml version="1.0" encoding="utf-8"?>
<formControlPr xmlns="http://schemas.microsoft.com/office/spreadsheetml/2009/9/main" objectType="Drop" dropLines="5" dropStyle="combo" dx="16" fmlaLink="Formeln!$AD$5" fmlaRange="Formeln!$AM$22:$AM$26" sel="2" val="0"/>
</file>

<file path=xl/ctrlProps/ctrlProp35.xml><?xml version="1.0" encoding="utf-8"?>
<formControlPr xmlns="http://schemas.microsoft.com/office/spreadsheetml/2009/9/main" objectType="Drop" dropLines="3" dropStyle="combo" dx="16" fmlaLink="Formeln!$AG$3" fmlaRange="Formeln!$E$7:$E$9" sel="2" val="0"/>
</file>

<file path=xl/ctrlProps/ctrlProp36.xml><?xml version="1.0" encoding="utf-8"?>
<formControlPr xmlns="http://schemas.microsoft.com/office/spreadsheetml/2009/9/main" objectType="Drop" dropLines="4" dropStyle="combo" dx="16" fmlaLink="Formeln!$AJ$3" fmlaRange="Formeln!$M$44:$M$47" sel="1" val="0"/>
</file>

<file path=xl/ctrlProps/ctrlProp37.xml><?xml version="1.0" encoding="utf-8"?>
<formControlPr xmlns="http://schemas.microsoft.com/office/spreadsheetml/2009/9/main" objectType="Drop" dropLines="10" dropStyle="combo" dx="16" fmlaLink="Formeln!$AA$6" fmlaRange="Formeln!$O$44:$O$53" sel="1" val="0"/>
</file>

<file path=xl/ctrlProps/ctrlProp38.xml><?xml version="1.0" encoding="utf-8"?>
<formControlPr xmlns="http://schemas.microsoft.com/office/spreadsheetml/2009/9/main" objectType="Drop" dropLines="6" dropStyle="combo" dx="16" fmlaLink="Formeln!$AD$6" fmlaRange="Formeln!$AO$21:$AO$26" sel="1" val="0"/>
</file>

<file path=xl/ctrlProps/ctrlProp39.xml><?xml version="1.0" encoding="utf-8"?>
<formControlPr xmlns="http://schemas.microsoft.com/office/spreadsheetml/2009/9/main" objectType="Drop" dropLines="6" dropStyle="combo" dx="16" fmlaLink="Formeln!$X$4" fmlaRange="Formeln!$B$29:$B$34" sel="1" val="0"/>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Drop" dropLines="10" dropStyle="combo" dx="16" fmlaLink="Formeln!$AA$7" fmlaRange="Formeln!$Q$44:$Q$53" sel="1" val="0"/>
</file>

<file path=xl/ctrlProps/ctrlProp41.xml><?xml version="1.0" encoding="utf-8"?>
<formControlPr xmlns="http://schemas.microsoft.com/office/spreadsheetml/2009/9/main" objectType="Drop" dropLines="5" dropStyle="combo" dx="16" fmlaLink="Formeln!$AD$7" fmlaRange="Formeln!$AM$30:$AM$34" sel="1" val="0"/>
</file>

<file path=xl/ctrlProps/ctrlProp42.xml><?xml version="1.0" encoding="utf-8"?>
<formControlPr xmlns="http://schemas.microsoft.com/office/spreadsheetml/2009/9/main" objectType="Drop" dropLines="3" dropStyle="combo" dx="16" fmlaLink="Formeln!$AG$4" fmlaRange="Formeln!$E$7:$E$9" sel="1" val="0"/>
</file>

<file path=xl/ctrlProps/ctrlProp43.xml><?xml version="1.0" encoding="utf-8"?>
<formControlPr xmlns="http://schemas.microsoft.com/office/spreadsheetml/2009/9/main" objectType="Drop" dropLines="4" dropStyle="combo" dx="16" fmlaLink="Formeln!$AJ$4" fmlaRange="Formeln!$P$44:$P$47" sel="1" val="0"/>
</file>

<file path=xl/ctrlProps/ctrlProp44.xml><?xml version="1.0" encoding="utf-8"?>
<formControlPr xmlns="http://schemas.microsoft.com/office/spreadsheetml/2009/9/main" objectType="Drop" dropLines="10" dropStyle="combo" dx="16" fmlaLink="Formeln!$AA$8" fmlaRange="Formeln!$R$44:$R$53" sel="1" val="0"/>
</file>

<file path=xl/ctrlProps/ctrlProp45.xml><?xml version="1.0" encoding="utf-8"?>
<formControlPr xmlns="http://schemas.microsoft.com/office/spreadsheetml/2009/9/main" objectType="Drop" dropLines="6" dropStyle="combo" dx="16" fmlaLink="Formeln!$AD$8" fmlaRange="Formeln!$AO$29:$AO$34" sel="1" val="0"/>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VIONARO!$I$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NP SCL'!A1"/><Relationship Id="rId4" Type="http://schemas.openxmlformats.org/officeDocument/2006/relationships/hyperlink" Target="#'VIO1'!A1"/></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45.png"/><Relationship Id="rId18"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15.png"/><Relationship Id="rId17" Type="http://schemas.openxmlformats.org/officeDocument/2006/relationships/image" Target="../media/image49.png"/><Relationship Id="rId2" Type="http://schemas.openxmlformats.org/officeDocument/2006/relationships/image" Target="../media/image39.png"/><Relationship Id="rId16" Type="http://schemas.openxmlformats.org/officeDocument/2006/relationships/image" Target="../media/image48.png"/><Relationship Id="rId1" Type="http://schemas.openxmlformats.org/officeDocument/2006/relationships/image" Target="../media/image4.png"/><Relationship Id="rId6" Type="http://schemas.openxmlformats.org/officeDocument/2006/relationships/image" Target="../media/image43.png"/><Relationship Id="rId11" Type="http://schemas.openxmlformats.org/officeDocument/2006/relationships/image" Target="../media/image14.png"/><Relationship Id="rId5" Type="http://schemas.openxmlformats.org/officeDocument/2006/relationships/image" Target="../media/image42.png"/><Relationship Id="rId15" Type="http://schemas.openxmlformats.org/officeDocument/2006/relationships/image" Target="../media/image47.png"/><Relationship Id="rId10" Type="http://schemas.openxmlformats.org/officeDocument/2006/relationships/image" Target="../media/image13.png"/><Relationship Id="rId19" Type="http://schemas.openxmlformats.org/officeDocument/2006/relationships/image" Target="../media/image51.png"/><Relationship Id="rId4" Type="http://schemas.openxmlformats.org/officeDocument/2006/relationships/image" Target="../media/image41.png"/><Relationship Id="rId9" Type="http://schemas.openxmlformats.org/officeDocument/2006/relationships/image" Target="../media/image12.png"/><Relationship Id="rId14" Type="http://schemas.openxmlformats.org/officeDocument/2006/relationships/image" Target="../media/image4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6.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1.jpg"/><Relationship Id="rId11" Type="http://schemas.openxmlformats.org/officeDocument/2006/relationships/image" Target="../media/image13.png"/><Relationship Id="rId5" Type="http://schemas.openxmlformats.org/officeDocument/2006/relationships/image" Target="../media/image8.png"/><Relationship Id="rId15" Type="http://schemas.openxmlformats.org/officeDocument/2006/relationships/hyperlink" Target="#'VIO2'!A1"/><Relationship Id="rId10" Type="http://schemas.openxmlformats.org/officeDocument/2006/relationships/image" Target="../media/image12.png"/><Relationship Id="rId4" Type="http://schemas.openxmlformats.org/officeDocument/2006/relationships/image" Target="../media/image7.png"/><Relationship Id="rId9" Type="http://schemas.openxmlformats.org/officeDocument/2006/relationships/image" Target="../media/image11.png"/><Relationship Id="rId14" Type="http://schemas.openxmlformats.org/officeDocument/2006/relationships/hyperlink" Target="#START!A1"/></Relationships>
</file>

<file path=xl/drawings/_rels/drawing3.xml.rels><?xml version="1.0" encoding="UTF-8" standalone="yes"?>
<Relationships xmlns="http://schemas.openxmlformats.org/package/2006/relationships"><Relationship Id="rId8" Type="http://schemas.openxmlformats.org/officeDocument/2006/relationships/hyperlink" Target="#'VIO1'!A1"/><Relationship Id="rId3" Type="http://schemas.openxmlformats.org/officeDocument/2006/relationships/image" Target="../media/image17.emf"/><Relationship Id="rId7" Type="http://schemas.openxmlformats.org/officeDocument/2006/relationships/image" Target="../media/image21.png"/><Relationship Id="rId2" Type="http://schemas.openxmlformats.org/officeDocument/2006/relationships/image" Target="../media/image1.jpg"/><Relationship Id="rId1" Type="http://schemas.openxmlformats.org/officeDocument/2006/relationships/image" Target="../media/image1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hyperlink" Target="#'VIO3'!A1"/></Relationships>
</file>

<file path=xl/drawings/_rels/drawing4.xml.rels><?xml version="1.0" encoding="UTF-8" standalone="yes"?>
<Relationships xmlns="http://schemas.openxmlformats.org/package/2006/relationships"><Relationship Id="rId3" Type="http://schemas.openxmlformats.org/officeDocument/2006/relationships/hyperlink" Target="#'VIO2'!A1"/><Relationship Id="rId7" Type="http://schemas.openxmlformats.org/officeDocument/2006/relationships/hyperlink" Target="#'VIO6'!A1"/><Relationship Id="rId2" Type="http://schemas.openxmlformats.org/officeDocument/2006/relationships/image" Target="../media/image1.jpg"/><Relationship Id="rId1" Type="http://schemas.openxmlformats.org/officeDocument/2006/relationships/image" Target="../media/image23.png"/><Relationship Id="rId6" Type="http://schemas.openxmlformats.org/officeDocument/2006/relationships/hyperlink" Target="#'VIO1'!A1"/><Relationship Id="rId5" Type="http://schemas.openxmlformats.org/officeDocument/2006/relationships/hyperlink" Target="#'VIO5'!A1"/><Relationship Id="rId4" Type="http://schemas.openxmlformats.org/officeDocument/2006/relationships/hyperlink" Target="#'VIO4'!A1"/></Relationships>
</file>

<file path=xl/drawings/_rels/drawing5.xml.rels><?xml version="1.0" encoding="UTF-8" standalone="yes"?>
<Relationships xmlns="http://schemas.openxmlformats.org/package/2006/relationships"><Relationship Id="rId3" Type="http://schemas.openxmlformats.org/officeDocument/2006/relationships/hyperlink" Target="#'VIO3'!A37"/><Relationship Id="rId2" Type="http://schemas.openxmlformats.org/officeDocument/2006/relationships/image" Target="../media/image25.png"/><Relationship Id="rId1" Type="http://schemas.openxmlformats.org/officeDocument/2006/relationships/image" Target="../media/image24.emf"/><Relationship Id="rId4"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5.png"/><Relationship Id="rId1" Type="http://schemas.openxmlformats.org/officeDocument/2006/relationships/image" Target="../media/image1.jpg"/><Relationship Id="rId4" Type="http://schemas.openxmlformats.org/officeDocument/2006/relationships/hyperlink" Target="#'VIO3'!A37"/></Relationships>
</file>

<file path=xl/drawings/_rels/drawing7.xml.rels><?xml version="1.0" encoding="UTF-8" standalone="yes"?>
<Relationships xmlns="http://schemas.openxmlformats.org/package/2006/relationships"><Relationship Id="rId3" Type="http://schemas.openxmlformats.org/officeDocument/2006/relationships/image" Target="../media/image27.emf"/><Relationship Id="rId7" Type="http://schemas.openxmlformats.org/officeDocument/2006/relationships/hyperlink" Target="#'VIO3'!A37"/><Relationship Id="rId2" Type="http://schemas.openxmlformats.org/officeDocument/2006/relationships/image" Target="../media/image25.png"/><Relationship Id="rId1" Type="http://schemas.openxmlformats.org/officeDocument/2006/relationships/image" Target="../media/image1.jpg"/><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4.emf"/></Relationships>
</file>

<file path=xl/drawings/_rels/drawing8.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1.jp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30.emf"/><Relationship Id="rId4"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9525</xdr:colOff>
      <xdr:row>2</xdr:row>
      <xdr:rowOff>1842</xdr:rowOff>
    </xdr:to>
    <xdr:grpSp>
      <xdr:nvGrpSpPr>
        <xdr:cNvPr id="20" name="Gruppieren 19"/>
        <xdr:cNvGrpSpPr/>
      </xdr:nvGrpSpPr>
      <xdr:grpSpPr>
        <a:xfrm>
          <a:off x="200025" y="95250"/>
          <a:ext cx="7905750" cy="1040067"/>
          <a:chOff x="200025" y="95250"/>
          <a:chExt cx="7905750" cy="1040067"/>
        </a:xfrm>
      </xdr:grpSpPr>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5" name="Grafik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4" name="Textfeld 3"/>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SCHUBKASTEN</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mc:AlternateContent xmlns:mc="http://schemas.openxmlformats.org/markup-compatibility/2006">
    <mc:Choice xmlns:a14="http://schemas.microsoft.com/office/drawing/2010/main" Requires="a14">
      <xdr:twoCellAnchor editAs="oneCell">
        <xdr:from>
          <xdr:col>2</xdr:col>
          <xdr:colOff>28575</xdr:colOff>
          <xdr:row>5</xdr:row>
          <xdr:rowOff>9525</xdr:rowOff>
        </xdr:from>
        <xdr:to>
          <xdr:col>2</xdr:col>
          <xdr:colOff>752475</xdr:colOff>
          <xdr:row>6</xdr:row>
          <xdr:rowOff>19050</xdr:rowOff>
        </xdr:to>
        <xdr:sp macro="" textlink="">
          <xdr:nvSpPr>
            <xdr:cNvPr id="6146" name="Drop Down 2" hidden="1">
              <a:extLst>
                <a:ext uri="{63B3BB69-23CF-44E3-9099-C40C66FF867C}">
                  <a14:compatExt spid="_x0000_s6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0</xdr:colOff>
      <xdr:row>8</xdr:row>
      <xdr:rowOff>9525</xdr:rowOff>
    </xdr:from>
    <xdr:to>
      <xdr:col>3</xdr:col>
      <xdr:colOff>761714</xdr:colOff>
      <xdr:row>8</xdr:row>
      <xdr:rowOff>1438097</xdr:rowOff>
    </xdr:to>
    <xdr:pic>
      <xdr:nvPicPr>
        <xdr:cNvPr id="6" name="Grafik 5"/>
        <xdr:cNvPicPr>
          <a:picLocks noChangeAspect="1"/>
        </xdr:cNvPicPr>
      </xdr:nvPicPr>
      <xdr:blipFill>
        <a:blip xmlns:r="http://schemas.openxmlformats.org/officeDocument/2006/relationships" r:embed="rId2"/>
        <a:stretch>
          <a:fillRect/>
        </a:stretch>
      </xdr:blipFill>
      <xdr:spPr>
        <a:xfrm>
          <a:off x="200025" y="4124325"/>
          <a:ext cx="2285714" cy="1428572"/>
        </a:xfrm>
        <a:prstGeom prst="rect">
          <a:avLst/>
        </a:prstGeom>
      </xdr:spPr>
    </xdr:pic>
    <xdr:clientData/>
  </xdr:twoCellAnchor>
  <xdr:twoCellAnchor editAs="oneCell">
    <xdr:from>
      <xdr:col>5</xdr:col>
      <xdr:colOff>0</xdr:colOff>
      <xdr:row>8</xdr:row>
      <xdr:rowOff>28573</xdr:rowOff>
    </xdr:from>
    <xdr:to>
      <xdr:col>8</xdr:col>
      <xdr:colOff>0</xdr:colOff>
      <xdr:row>9</xdr:row>
      <xdr:rowOff>9881</xdr:rowOff>
    </xdr:to>
    <xdr:pic>
      <xdr:nvPicPr>
        <xdr:cNvPr id="10" name="Grafik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269" t="20077" r="5898" b="9939"/>
        <a:stretch/>
      </xdr:blipFill>
      <xdr:spPr>
        <a:xfrm>
          <a:off x="5819775" y="2314573"/>
          <a:ext cx="2286000" cy="1429108"/>
        </a:xfrm>
        <a:prstGeom prst="rect">
          <a:avLst/>
        </a:prstGeom>
      </xdr:spPr>
    </xdr:pic>
    <xdr:clientData/>
  </xdr:twoCellAnchor>
  <xdr:twoCellAnchor>
    <xdr:from>
      <xdr:col>1</xdr:col>
      <xdr:colOff>0</xdr:colOff>
      <xdr:row>8</xdr:row>
      <xdr:rowOff>9525</xdr:rowOff>
    </xdr:from>
    <xdr:to>
      <xdr:col>3</xdr:col>
      <xdr:colOff>638175</xdr:colOff>
      <xdr:row>11</xdr:row>
      <xdr:rowOff>0</xdr:rowOff>
    </xdr:to>
    <xdr:sp macro="" textlink="">
      <xdr:nvSpPr>
        <xdr:cNvPr id="18" name="Rechteck 17">
          <a:hlinkClick xmlns:r="http://schemas.openxmlformats.org/officeDocument/2006/relationships" r:id="rId4"/>
        </xdr:cNvPr>
        <xdr:cNvSpPr/>
      </xdr:nvSpPr>
      <xdr:spPr>
        <a:xfrm>
          <a:off x="200025" y="4724400"/>
          <a:ext cx="2162175" cy="2305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5</xdr:col>
      <xdr:colOff>0</xdr:colOff>
      <xdr:row>8</xdr:row>
      <xdr:rowOff>28575</xdr:rowOff>
    </xdr:from>
    <xdr:to>
      <xdr:col>8</xdr:col>
      <xdr:colOff>0</xdr:colOff>
      <xdr:row>11</xdr:row>
      <xdr:rowOff>38100</xdr:rowOff>
    </xdr:to>
    <xdr:sp macro="" textlink="">
      <xdr:nvSpPr>
        <xdr:cNvPr id="33" name="Rechteck 32">
          <a:hlinkClick xmlns:r="http://schemas.openxmlformats.org/officeDocument/2006/relationships" r:id="rId5"/>
        </xdr:cNvPr>
        <xdr:cNvSpPr/>
      </xdr:nvSpPr>
      <xdr:spPr>
        <a:xfrm>
          <a:off x="3009900" y="2314575"/>
          <a:ext cx="2286000" cy="2247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4</xdr:col>
      <xdr:colOff>352425</xdr:colOff>
      <xdr:row>7</xdr:row>
      <xdr:rowOff>123825</xdr:rowOff>
    </xdr:from>
    <xdr:to>
      <xdr:col>8</xdr:col>
      <xdr:colOff>76200</xdr:colOff>
      <xdr:row>11</xdr:row>
      <xdr:rowOff>47625</xdr:rowOff>
    </xdr:to>
    <xdr:sp macro="" textlink="">
      <xdr:nvSpPr>
        <xdr:cNvPr id="21" name="Rechteck 20"/>
        <xdr:cNvSpPr/>
      </xdr:nvSpPr>
      <xdr:spPr>
        <a:xfrm>
          <a:off x="2838450" y="2219325"/>
          <a:ext cx="2533650" cy="2352675"/>
        </a:xfrm>
        <a:prstGeom prst="rect">
          <a:avLst/>
        </a:prstGeom>
        <a:solidFill>
          <a:sysClr val="window" lastClr="FFFFFF">
            <a:alpha val="70000"/>
          </a:sys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796018</xdr:colOff>
      <xdr:row>0</xdr:row>
      <xdr:rowOff>76975</xdr:rowOff>
    </xdr:from>
    <xdr:to>
      <xdr:col>0</xdr:col>
      <xdr:colOff>2910363</xdr:colOff>
      <xdr:row>0</xdr:row>
      <xdr:rowOff>1638149</xdr:rowOff>
    </xdr:to>
    <xdr:pic>
      <xdr:nvPicPr>
        <xdr:cNvPr id="438" name="Grafik 437"/>
        <xdr:cNvPicPr>
          <a:picLocks noChangeAspect="1"/>
        </xdr:cNvPicPr>
      </xdr:nvPicPr>
      <xdr:blipFill>
        <a:blip xmlns:r="http://schemas.openxmlformats.org/officeDocument/2006/relationships" r:embed="rId1"/>
        <a:stretch>
          <a:fillRect/>
        </a:stretch>
      </xdr:blipFill>
      <xdr:spPr>
        <a:xfrm>
          <a:off x="796018" y="76975"/>
          <a:ext cx="2114345" cy="1561174"/>
        </a:xfrm>
        <a:prstGeom prst="rect">
          <a:avLst/>
        </a:prstGeom>
      </xdr:spPr>
    </xdr:pic>
    <xdr:clientData/>
  </xdr:twoCellAnchor>
  <xdr:twoCellAnchor>
    <xdr:from>
      <xdr:col>2</xdr:col>
      <xdr:colOff>3361764</xdr:colOff>
      <xdr:row>3</xdr:row>
      <xdr:rowOff>3384177</xdr:rowOff>
    </xdr:from>
    <xdr:to>
      <xdr:col>3</xdr:col>
      <xdr:colOff>3345526</xdr:colOff>
      <xdr:row>4</xdr:row>
      <xdr:rowOff>222169</xdr:rowOff>
    </xdr:to>
    <xdr:pic>
      <xdr:nvPicPr>
        <xdr:cNvPr id="411" name="Grafik 410"/>
        <xdr:cNvPicPr>
          <a:picLocks noChangeAspect="1"/>
        </xdr:cNvPicPr>
      </xdr:nvPicPr>
      <xdr:blipFill rotWithShape="1">
        <a:blip xmlns:r="http://schemas.openxmlformats.org/officeDocument/2006/relationships" r:embed="rId2"/>
        <a:srcRect l="6559" t="7754" r="3131"/>
        <a:stretch/>
      </xdr:blipFill>
      <xdr:spPr>
        <a:xfrm>
          <a:off x="10197352" y="7373471"/>
          <a:ext cx="3401556" cy="2037522"/>
        </a:xfrm>
        <a:prstGeom prst="rect">
          <a:avLst/>
        </a:prstGeom>
      </xdr:spPr>
    </xdr:pic>
    <xdr:clientData/>
  </xdr:twoCellAnchor>
  <xdr:twoCellAnchor>
    <xdr:from>
      <xdr:col>1</xdr:col>
      <xdr:colOff>3384176</xdr:colOff>
      <xdr:row>3</xdr:row>
      <xdr:rowOff>3395382</xdr:rowOff>
    </xdr:from>
    <xdr:to>
      <xdr:col>2</xdr:col>
      <xdr:colOff>3367938</xdr:colOff>
      <xdr:row>4</xdr:row>
      <xdr:rowOff>233374</xdr:rowOff>
    </xdr:to>
    <xdr:pic>
      <xdr:nvPicPr>
        <xdr:cNvPr id="410" name="Grafik 409"/>
        <xdr:cNvPicPr>
          <a:picLocks noChangeAspect="1"/>
        </xdr:cNvPicPr>
      </xdr:nvPicPr>
      <xdr:blipFill rotWithShape="1">
        <a:blip xmlns:r="http://schemas.openxmlformats.org/officeDocument/2006/relationships" r:embed="rId2"/>
        <a:srcRect l="6559" t="7754" r="3131"/>
        <a:stretch/>
      </xdr:blipFill>
      <xdr:spPr>
        <a:xfrm>
          <a:off x="6801970" y="7384676"/>
          <a:ext cx="3401556" cy="2037522"/>
        </a:xfrm>
        <a:prstGeom prst="rect">
          <a:avLst/>
        </a:prstGeom>
      </xdr:spPr>
    </xdr:pic>
    <xdr:clientData/>
  </xdr:twoCellAnchor>
  <xdr:twoCellAnchor>
    <xdr:from>
      <xdr:col>2</xdr:col>
      <xdr:colOff>8869</xdr:colOff>
      <xdr:row>2</xdr:row>
      <xdr:rowOff>105003</xdr:rowOff>
    </xdr:from>
    <xdr:to>
      <xdr:col>2</xdr:col>
      <xdr:colOff>3413334</xdr:colOff>
      <xdr:row>3</xdr:row>
      <xdr:rowOff>1952025</xdr:rowOff>
    </xdr:to>
    <xdr:pic>
      <xdr:nvPicPr>
        <xdr:cNvPr id="354" name="Grafik 353"/>
        <xdr:cNvPicPr>
          <a:picLocks noChangeAspect="1"/>
        </xdr:cNvPicPr>
      </xdr:nvPicPr>
      <xdr:blipFill rotWithShape="1">
        <a:blip xmlns:r="http://schemas.openxmlformats.org/officeDocument/2006/relationships" r:embed="rId2"/>
        <a:srcRect l="6559" t="7754" r="3131"/>
        <a:stretch/>
      </xdr:blipFill>
      <xdr:spPr>
        <a:xfrm>
          <a:off x="6850304" y="3906720"/>
          <a:ext cx="3404465" cy="2037522"/>
        </a:xfrm>
        <a:prstGeom prst="rect">
          <a:avLst/>
        </a:prstGeom>
      </xdr:spPr>
    </xdr:pic>
    <xdr:clientData/>
  </xdr:twoCellAnchor>
  <xdr:twoCellAnchor>
    <xdr:from>
      <xdr:col>2</xdr:col>
      <xdr:colOff>3427</xdr:colOff>
      <xdr:row>3</xdr:row>
      <xdr:rowOff>1441059</xdr:rowOff>
    </xdr:from>
    <xdr:to>
      <xdr:col>2</xdr:col>
      <xdr:colOff>3407893</xdr:colOff>
      <xdr:row>3</xdr:row>
      <xdr:rowOff>3478581</xdr:rowOff>
    </xdr:to>
    <xdr:pic>
      <xdr:nvPicPr>
        <xdr:cNvPr id="344" name="Grafik 343"/>
        <xdr:cNvPicPr>
          <a:picLocks noChangeAspect="1"/>
        </xdr:cNvPicPr>
      </xdr:nvPicPr>
      <xdr:blipFill rotWithShape="1">
        <a:blip xmlns:r="http://schemas.openxmlformats.org/officeDocument/2006/relationships" r:embed="rId2"/>
        <a:srcRect l="6559" t="7754" r="3131"/>
        <a:stretch/>
      </xdr:blipFill>
      <xdr:spPr>
        <a:xfrm>
          <a:off x="6844862" y="5433276"/>
          <a:ext cx="3404466" cy="2037522"/>
        </a:xfrm>
        <a:prstGeom prst="rect">
          <a:avLst/>
        </a:prstGeom>
        <a:noFill/>
        <a:ln w="9525" cmpd="sng">
          <a:noFill/>
        </a:ln>
      </xdr:spPr>
    </xdr:pic>
    <xdr:clientData/>
  </xdr:twoCellAnchor>
  <xdr:twoCellAnchor editAs="oneCell">
    <xdr:from>
      <xdr:col>0</xdr:col>
      <xdr:colOff>0</xdr:colOff>
      <xdr:row>5</xdr:row>
      <xdr:rowOff>19050</xdr:rowOff>
    </xdr:from>
    <xdr:to>
      <xdr:col>1</xdr:col>
      <xdr:colOff>1680</xdr:colOff>
      <xdr:row>6</xdr:row>
      <xdr:rowOff>8040</xdr:rowOff>
    </xdr:to>
    <xdr:pic>
      <xdr:nvPicPr>
        <xdr:cNvPr id="49" name="Grafik 48"/>
        <xdr:cNvPicPr>
          <a:picLocks noChangeAspect="1"/>
        </xdr:cNvPicPr>
      </xdr:nvPicPr>
      <xdr:blipFill>
        <a:blip xmlns:r="http://schemas.openxmlformats.org/officeDocument/2006/relationships" r:embed="rId3"/>
        <a:stretch>
          <a:fillRect/>
        </a:stretch>
      </xdr:blipFill>
      <xdr:spPr>
        <a:xfrm>
          <a:off x="0" y="5848350"/>
          <a:ext cx="3419474" cy="4560990"/>
        </a:xfrm>
        <a:prstGeom prst="rect">
          <a:avLst/>
        </a:prstGeom>
      </xdr:spPr>
    </xdr:pic>
    <xdr:clientData/>
  </xdr:twoCellAnchor>
  <xdr:twoCellAnchor editAs="oneCell">
    <xdr:from>
      <xdr:col>0</xdr:col>
      <xdr:colOff>84554</xdr:colOff>
      <xdr:row>0</xdr:row>
      <xdr:rowOff>44650</xdr:rowOff>
    </xdr:from>
    <xdr:to>
      <xdr:col>0</xdr:col>
      <xdr:colOff>2920282</xdr:colOff>
      <xdr:row>0</xdr:row>
      <xdr:rowOff>1662791</xdr:rowOff>
    </xdr:to>
    <xdr:pic>
      <xdr:nvPicPr>
        <xdr:cNvPr id="4" name="Grafik 3"/>
        <xdr:cNvPicPr preferRelativeResize="0">
          <a:picLocks/>
        </xdr:cNvPicPr>
      </xdr:nvPicPr>
      <xdr:blipFill>
        <a:blip xmlns:r="http://schemas.openxmlformats.org/officeDocument/2006/relationships" r:embed="rId4"/>
        <a:stretch>
          <a:fillRect/>
        </a:stretch>
      </xdr:blipFill>
      <xdr:spPr>
        <a:xfrm>
          <a:off x="84554" y="44650"/>
          <a:ext cx="2835728" cy="1618141"/>
        </a:xfrm>
        <a:prstGeom prst="rect">
          <a:avLst/>
        </a:prstGeom>
      </xdr:spPr>
    </xdr:pic>
    <xdr:clientData/>
  </xdr:twoCellAnchor>
  <xdr:twoCellAnchor editAs="oneCell">
    <xdr:from>
      <xdr:col>1</xdr:col>
      <xdr:colOff>109034</xdr:colOff>
      <xdr:row>0</xdr:row>
      <xdr:rowOff>61332</xdr:rowOff>
    </xdr:from>
    <xdr:to>
      <xdr:col>1</xdr:col>
      <xdr:colOff>2947692</xdr:colOff>
      <xdr:row>0</xdr:row>
      <xdr:rowOff>1679473</xdr:rowOff>
    </xdr:to>
    <xdr:pic>
      <xdr:nvPicPr>
        <xdr:cNvPr id="5" name="Grafik 4"/>
        <xdr:cNvPicPr preferRelativeResize="0">
          <a:picLocks/>
        </xdr:cNvPicPr>
      </xdr:nvPicPr>
      <xdr:blipFill>
        <a:blip xmlns:r="http://schemas.openxmlformats.org/officeDocument/2006/relationships" r:embed="rId5"/>
        <a:stretch>
          <a:fillRect/>
        </a:stretch>
      </xdr:blipFill>
      <xdr:spPr>
        <a:xfrm>
          <a:off x="3531684" y="61332"/>
          <a:ext cx="2838658" cy="1618141"/>
        </a:xfrm>
        <a:prstGeom prst="rect">
          <a:avLst/>
        </a:prstGeom>
      </xdr:spPr>
    </xdr:pic>
    <xdr:clientData/>
  </xdr:twoCellAnchor>
  <xdr:twoCellAnchor editAs="oneCell">
    <xdr:from>
      <xdr:col>2</xdr:col>
      <xdr:colOff>115152</xdr:colOff>
      <xdr:row>0</xdr:row>
      <xdr:rowOff>77439</xdr:rowOff>
    </xdr:from>
    <xdr:to>
      <xdr:col>2</xdr:col>
      <xdr:colOff>2953812</xdr:colOff>
      <xdr:row>0</xdr:row>
      <xdr:rowOff>1695580</xdr:rowOff>
    </xdr:to>
    <xdr:pic>
      <xdr:nvPicPr>
        <xdr:cNvPr id="6" name="Grafik 5"/>
        <xdr:cNvPicPr preferRelativeResize="0">
          <a:picLocks/>
        </xdr:cNvPicPr>
      </xdr:nvPicPr>
      <xdr:blipFill>
        <a:blip xmlns:r="http://schemas.openxmlformats.org/officeDocument/2006/relationships" r:embed="rId6"/>
        <a:stretch>
          <a:fillRect/>
        </a:stretch>
      </xdr:blipFill>
      <xdr:spPr>
        <a:xfrm>
          <a:off x="6852502" y="77439"/>
          <a:ext cx="2838660" cy="1618141"/>
        </a:xfrm>
        <a:prstGeom prst="rect">
          <a:avLst/>
        </a:prstGeom>
      </xdr:spPr>
    </xdr:pic>
    <xdr:clientData/>
  </xdr:twoCellAnchor>
  <xdr:twoCellAnchor editAs="oneCell">
    <xdr:from>
      <xdr:col>3</xdr:col>
      <xdr:colOff>116856</xdr:colOff>
      <xdr:row>0</xdr:row>
      <xdr:rowOff>88668</xdr:rowOff>
    </xdr:from>
    <xdr:to>
      <xdr:col>3</xdr:col>
      <xdr:colOff>2955514</xdr:colOff>
      <xdr:row>0</xdr:row>
      <xdr:rowOff>1708396</xdr:rowOff>
    </xdr:to>
    <xdr:pic>
      <xdr:nvPicPr>
        <xdr:cNvPr id="7" name="Grafik 6"/>
        <xdr:cNvPicPr preferRelativeResize="0">
          <a:picLocks/>
        </xdr:cNvPicPr>
      </xdr:nvPicPr>
      <xdr:blipFill>
        <a:blip xmlns:r="http://schemas.openxmlformats.org/officeDocument/2006/relationships" r:embed="rId7"/>
        <a:stretch>
          <a:fillRect/>
        </a:stretch>
      </xdr:blipFill>
      <xdr:spPr>
        <a:xfrm>
          <a:off x="10168906" y="88668"/>
          <a:ext cx="2838658" cy="1619728"/>
        </a:xfrm>
        <a:prstGeom prst="rect">
          <a:avLst/>
        </a:prstGeom>
      </xdr:spPr>
    </xdr:pic>
    <xdr:clientData/>
  </xdr:twoCellAnchor>
  <xdr:twoCellAnchor editAs="oneCell">
    <xdr:from>
      <xdr:col>0</xdr:col>
      <xdr:colOff>0</xdr:colOff>
      <xdr:row>1</xdr:row>
      <xdr:rowOff>19050</xdr:rowOff>
    </xdr:from>
    <xdr:to>
      <xdr:col>1</xdr:col>
      <xdr:colOff>24778</xdr:colOff>
      <xdr:row>2</xdr:row>
      <xdr:rowOff>23223</xdr:rowOff>
    </xdr:to>
    <xdr:pic>
      <xdr:nvPicPr>
        <xdr:cNvPr id="2" name="Grafik 1"/>
        <xdr:cNvPicPr>
          <a:picLocks noChangeAspect="1"/>
        </xdr:cNvPicPr>
      </xdr:nvPicPr>
      <xdr:blipFill rotWithShape="1">
        <a:blip xmlns:r="http://schemas.openxmlformats.org/officeDocument/2006/relationships" r:embed="rId8"/>
        <a:srcRect t="24871" b="13216"/>
        <a:stretch/>
      </xdr:blipFill>
      <xdr:spPr>
        <a:xfrm>
          <a:off x="0" y="2038350"/>
          <a:ext cx="3448050" cy="2032998"/>
        </a:xfrm>
        <a:prstGeom prst="rect">
          <a:avLst/>
        </a:prstGeom>
      </xdr:spPr>
    </xdr:pic>
    <xdr:clientData/>
  </xdr:twoCellAnchor>
  <xdr:twoCellAnchor editAs="oneCell">
    <xdr:from>
      <xdr:col>1</xdr:col>
      <xdr:colOff>9525</xdr:colOff>
      <xdr:row>1</xdr:row>
      <xdr:rowOff>19049</xdr:rowOff>
    </xdr:from>
    <xdr:to>
      <xdr:col>1</xdr:col>
      <xdr:colOff>3337464</xdr:colOff>
      <xdr:row>2</xdr:row>
      <xdr:rowOff>28575</xdr:rowOff>
    </xdr:to>
    <xdr:pic>
      <xdr:nvPicPr>
        <xdr:cNvPr id="3" name="Grafik 2"/>
        <xdr:cNvPicPr>
          <a:picLocks noChangeAspect="1"/>
        </xdr:cNvPicPr>
      </xdr:nvPicPr>
      <xdr:blipFill rotWithShape="1">
        <a:blip xmlns:r="http://schemas.openxmlformats.org/officeDocument/2006/relationships" r:embed="rId9"/>
        <a:srcRect t="23813" b="11629"/>
        <a:stretch/>
      </xdr:blipFill>
      <xdr:spPr>
        <a:xfrm>
          <a:off x="3324225" y="2038349"/>
          <a:ext cx="3327939" cy="2038351"/>
        </a:xfrm>
        <a:prstGeom prst="rect">
          <a:avLst/>
        </a:prstGeom>
      </xdr:spPr>
    </xdr:pic>
    <xdr:clientData/>
  </xdr:twoCellAnchor>
  <xdr:twoCellAnchor editAs="oneCell">
    <xdr:from>
      <xdr:col>2</xdr:col>
      <xdr:colOff>0</xdr:colOff>
      <xdr:row>1</xdr:row>
      <xdr:rowOff>19049</xdr:rowOff>
    </xdr:from>
    <xdr:to>
      <xdr:col>2</xdr:col>
      <xdr:colOff>3315791</xdr:colOff>
      <xdr:row>2</xdr:row>
      <xdr:rowOff>57149</xdr:rowOff>
    </xdr:to>
    <xdr:pic>
      <xdr:nvPicPr>
        <xdr:cNvPr id="8" name="Grafik 7"/>
        <xdr:cNvPicPr>
          <a:picLocks noChangeAspect="1"/>
        </xdr:cNvPicPr>
      </xdr:nvPicPr>
      <xdr:blipFill rotWithShape="1">
        <a:blip xmlns:r="http://schemas.openxmlformats.org/officeDocument/2006/relationships" r:embed="rId10"/>
        <a:srcRect t="22225" b="12158"/>
        <a:stretch/>
      </xdr:blipFill>
      <xdr:spPr>
        <a:xfrm>
          <a:off x="6629400" y="2038349"/>
          <a:ext cx="3315790" cy="2066925"/>
        </a:xfrm>
        <a:prstGeom prst="rect">
          <a:avLst/>
        </a:prstGeom>
      </xdr:spPr>
    </xdr:pic>
    <xdr:clientData/>
  </xdr:twoCellAnchor>
  <xdr:twoCellAnchor editAs="oneCell">
    <xdr:from>
      <xdr:col>3</xdr:col>
      <xdr:colOff>0</xdr:colOff>
      <xdr:row>1</xdr:row>
      <xdr:rowOff>19050</xdr:rowOff>
    </xdr:from>
    <xdr:to>
      <xdr:col>3</xdr:col>
      <xdr:colOff>3308522</xdr:colOff>
      <xdr:row>2</xdr:row>
      <xdr:rowOff>104775</xdr:rowOff>
    </xdr:to>
    <xdr:pic>
      <xdr:nvPicPr>
        <xdr:cNvPr id="9" name="Grafik 8"/>
        <xdr:cNvPicPr>
          <a:picLocks noChangeAspect="1"/>
        </xdr:cNvPicPr>
      </xdr:nvPicPr>
      <xdr:blipFill rotWithShape="1">
        <a:blip xmlns:r="http://schemas.openxmlformats.org/officeDocument/2006/relationships" r:embed="rId11"/>
        <a:srcRect t="21167" b="11629"/>
        <a:stretch/>
      </xdr:blipFill>
      <xdr:spPr>
        <a:xfrm>
          <a:off x="9944100" y="2038350"/>
          <a:ext cx="3308522" cy="2114550"/>
        </a:xfrm>
        <a:prstGeom prst="rect">
          <a:avLst/>
        </a:prstGeom>
      </xdr:spPr>
    </xdr:pic>
    <xdr:clientData/>
  </xdr:twoCellAnchor>
  <xdr:twoCellAnchor editAs="oneCell">
    <xdr:from>
      <xdr:col>4</xdr:col>
      <xdr:colOff>9525</xdr:colOff>
      <xdr:row>1</xdr:row>
      <xdr:rowOff>19049</xdr:rowOff>
    </xdr:from>
    <xdr:to>
      <xdr:col>4</xdr:col>
      <xdr:colOff>3311769</xdr:colOff>
      <xdr:row>2</xdr:row>
      <xdr:rowOff>185935</xdr:rowOff>
    </xdr:to>
    <xdr:pic>
      <xdr:nvPicPr>
        <xdr:cNvPr id="10" name="Grafik 9"/>
        <xdr:cNvPicPr>
          <a:picLocks noChangeAspect="1"/>
        </xdr:cNvPicPr>
      </xdr:nvPicPr>
      <xdr:blipFill rotWithShape="1">
        <a:blip xmlns:r="http://schemas.openxmlformats.org/officeDocument/2006/relationships" r:embed="rId12"/>
        <a:srcRect t="20109" b="10042"/>
        <a:stretch/>
      </xdr:blipFill>
      <xdr:spPr>
        <a:xfrm>
          <a:off x="13268325" y="2038349"/>
          <a:ext cx="3305175" cy="2195711"/>
        </a:xfrm>
        <a:prstGeom prst="rect">
          <a:avLst/>
        </a:prstGeom>
      </xdr:spPr>
    </xdr:pic>
    <xdr:clientData/>
  </xdr:twoCellAnchor>
  <xdr:twoCellAnchor editAs="oneCell">
    <xdr:from>
      <xdr:col>0</xdr:col>
      <xdr:colOff>332180</xdr:colOff>
      <xdr:row>21</xdr:row>
      <xdr:rowOff>9641</xdr:rowOff>
    </xdr:from>
    <xdr:to>
      <xdr:col>0</xdr:col>
      <xdr:colOff>3170839</xdr:colOff>
      <xdr:row>29</xdr:row>
      <xdr:rowOff>99019</xdr:rowOff>
    </xdr:to>
    <xdr:pic>
      <xdr:nvPicPr>
        <xdr:cNvPr id="11" name="Grafik 10"/>
        <xdr:cNvPicPr preferRelativeResize="0">
          <a:picLocks/>
        </xdr:cNvPicPr>
      </xdr:nvPicPr>
      <xdr:blipFill>
        <a:blip xmlns:r="http://schemas.openxmlformats.org/officeDocument/2006/relationships" r:embed="rId4"/>
        <a:stretch>
          <a:fillRect/>
        </a:stretch>
      </xdr:blipFill>
      <xdr:spPr>
        <a:xfrm>
          <a:off x="332180" y="13249391"/>
          <a:ext cx="2838659" cy="1613378"/>
        </a:xfrm>
        <a:prstGeom prst="rect">
          <a:avLst/>
        </a:prstGeom>
      </xdr:spPr>
    </xdr:pic>
    <xdr:clientData/>
  </xdr:twoCellAnchor>
  <xdr:twoCellAnchor editAs="oneCell">
    <xdr:from>
      <xdr:col>1</xdr:col>
      <xdr:colOff>203827</xdr:colOff>
      <xdr:row>21</xdr:row>
      <xdr:rowOff>75968</xdr:rowOff>
    </xdr:from>
    <xdr:to>
      <xdr:col>1</xdr:col>
      <xdr:colOff>3042485</xdr:colOff>
      <xdr:row>29</xdr:row>
      <xdr:rowOff>170109</xdr:rowOff>
    </xdr:to>
    <xdr:pic>
      <xdr:nvPicPr>
        <xdr:cNvPr id="12" name="Grafik 11"/>
        <xdr:cNvPicPr preferRelativeResize="0">
          <a:picLocks/>
        </xdr:cNvPicPr>
      </xdr:nvPicPr>
      <xdr:blipFill>
        <a:blip xmlns:r="http://schemas.openxmlformats.org/officeDocument/2006/relationships" r:embed="rId5"/>
        <a:stretch>
          <a:fillRect/>
        </a:stretch>
      </xdr:blipFill>
      <xdr:spPr>
        <a:xfrm>
          <a:off x="3632827" y="16244656"/>
          <a:ext cx="2838658" cy="1618141"/>
        </a:xfrm>
        <a:prstGeom prst="rect">
          <a:avLst/>
        </a:prstGeom>
      </xdr:spPr>
    </xdr:pic>
    <xdr:clientData/>
  </xdr:twoCellAnchor>
  <xdr:twoCellAnchor editAs="oneCell">
    <xdr:from>
      <xdr:col>2</xdr:col>
      <xdr:colOff>328611</xdr:colOff>
      <xdr:row>21</xdr:row>
      <xdr:rowOff>4762</xdr:rowOff>
    </xdr:from>
    <xdr:to>
      <xdr:col>2</xdr:col>
      <xdr:colOff>3167270</xdr:colOff>
      <xdr:row>29</xdr:row>
      <xdr:rowOff>98903</xdr:rowOff>
    </xdr:to>
    <xdr:pic>
      <xdr:nvPicPr>
        <xdr:cNvPr id="13" name="Grafik 12"/>
        <xdr:cNvPicPr preferRelativeResize="0">
          <a:picLocks/>
        </xdr:cNvPicPr>
      </xdr:nvPicPr>
      <xdr:blipFill>
        <a:blip xmlns:r="http://schemas.openxmlformats.org/officeDocument/2006/relationships" r:embed="rId6"/>
        <a:stretch>
          <a:fillRect/>
        </a:stretch>
      </xdr:blipFill>
      <xdr:spPr>
        <a:xfrm>
          <a:off x="7186611" y="16173450"/>
          <a:ext cx="2838659" cy="1618141"/>
        </a:xfrm>
        <a:prstGeom prst="rect">
          <a:avLst/>
        </a:prstGeom>
      </xdr:spPr>
    </xdr:pic>
    <xdr:clientData/>
  </xdr:twoCellAnchor>
  <xdr:twoCellAnchor editAs="oneCell">
    <xdr:from>
      <xdr:col>3</xdr:col>
      <xdr:colOff>234667</xdr:colOff>
      <xdr:row>20</xdr:row>
      <xdr:rowOff>33454</xdr:rowOff>
    </xdr:from>
    <xdr:to>
      <xdr:col>3</xdr:col>
      <xdr:colOff>3073325</xdr:colOff>
      <xdr:row>28</xdr:row>
      <xdr:rowOff>127035</xdr:rowOff>
    </xdr:to>
    <xdr:pic>
      <xdr:nvPicPr>
        <xdr:cNvPr id="14" name="Grafik 13"/>
        <xdr:cNvPicPr preferRelativeResize="0">
          <a:picLocks/>
        </xdr:cNvPicPr>
      </xdr:nvPicPr>
      <xdr:blipFill>
        <a:blip xmlns:r="http://schemas.openxmlformats.org/officeDocument/2006/relationships" r:embed="rId7"/>
        <a:stretch>
          <a:fillRect/>
        </a:stretch>
      </xdr:blipFill>
      <xdr:spPr>
        <a:xfrm>
          <a:off x="10521667" y="16011642"/>
          <a:ext cx="2838658" cy="1617581"/>
        </a:xfrm>
        <a:prstGeom prst="rect">
          <a:avLst/>
        </a:prstGeom>
      </xdr:spPr>
    </xdr:pic>
    <xdr:clientData/>
  </xdr:twoCellAnchor>
  <xdr:twoCellAnchor>
    <xdr:from>
      <xdr:col>0</xdr:col>
      <xdr:colOff>3239686</xdr:colOff>
      <xdr:row>22</xdr:row>
      <xdr:rowOff>119063</xdr:rowOff>
    </xdr:from>
    <xdr:to>
      <xdr:col>0</xdr:col>
      <xdr:colOff>3249211</xdr:colOff>
      <xdr:row>29</xdr:row>
      <xdr:rowOff>74817</xdr:rowOff>
    </xdr:to>
    <xdr:cxnSp macro="">
      <xdr:nvCxnSpPr>
        <xdr:cNvPr id="15" name="Gerade Verbindung mit Pfeil 14"/>
        <xdr:cNvCxnSpPr/>
      </xdr:nvCxnSpPr>
      <xdr:spPr>
        <a:xfrm>
          <a:off x="3239686" y="13549313"/>
          <a:ext cx="9525" cy="1289254"/>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3107527</xdr:colOff>
      <xdr:row>26</xdr:row>
      <xdr:rowOff>71437</xdr:rowOff>
    </xdr:from>
    <xdr:to>
      <xdr:col>1</xdr:col>
      <xdr:colOff>3111100</xdr:colOff>
      <xdr:row>29</xdr:row>
      <xdr:rowOff>142682</xdr:rowOff>
    </xdr:to>
    <xdr:cxnSp macro="">
      <xdr:nvCxnSpPr>
        <xdr:cNvPr id="19" name="Gerade Verbindung mit Pfeil 18"/>
        <xdr:cNvCxnSpPr/>
      </xdr:nvCxnSpPr>
      <xdr:spPr>
        <a:xfrm>
          <a:off x="6536527" y="17192625"/>
          <a:ext cx="3573" cy="642745"/>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3271835</xdr:colOff>
      <xdr:row>28</xdr:row>
      <xdr:rowOff>142875</xdr:rowOff>
    </xdr:from>
    <xdr:to>
      <xdr:col>2</xdr:col>
      <xdr:colOff>3274217</xdr:colOff>
      <xdr:row>46</xdr:row>
      <xdr:rowOff>99820</xdr:rowOff>
    </xdr:to>
    <xdr:cxnSp macro="">
      <xdr:nvCxnSpPr>
        <xdr:cNvPr id="20" name="Gerade Verbindung mit Pfeil 19"/>
        <xdr:cNvCxnSpPr/>
      </xdr:nvCxnSpPr>
      <xdr:spPr>
        <a:xfrm flipH="1">
          <a:off x="10129835" y="17645063"/>
          <a:ext cx="2382" cy="3385945"/>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3180156</xdr:colOff>
      <xdr:row>26</xdr:row>
      <xdr:rowOff>59530</xdr:rowOff>
    </xdr:from>
    <xdr:to>
      <xdr:col>3</xdr:col>
      <xdr:colOff>3184918</xdr:colOff>
      <xdr:row>27</xdr:row>
      <xdr:rowOff>174828</xdr:rowOff>
    </xdr:to>
    <xdr:cxnSp macro="">
      <xdr:nvCxnSpPr>
        <xdr:cNvPr id="21" name="Gerade Verbindung mit Pfeil 20"/>
        <xdr:cNvCxnSpPr/>
      </xdr:nvCxnSpPr>
      <xdr:spPr>
        <a:xfrm flipH="1">
          <a:off x="13467156" y="17180718"/>
          <a:ext cx="4762" cy="305798"/>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3146818</xdr:colOff>
      <xdr:row>22</xdr:row>
      <xdr:rowOff>116680</xdr:rowOff>
    </xdr:from>
    <xdr:to>
      <xdr:col>1</xdr:col>
      <xdr:colOff>3150391</xdr:colOff>
      <xdr:row>25</xdr:row>
      <xdr:rowOff>187925</xdr:rowOff>
    </xdr:to>
    <xdr:cxnSp macro="">
      <xdr:nvCxnSpPr>
        <xdr:cNvPr id="23" name="Gerade Verbindung mit Pfeil 22"/>
        <xdr:cNvCxnSpPr/>
      </xdr:nvCxnSpPr>
      <xdr:spPr>
        <a:xfrm>
          <a:off x="6575818" y="16475868"/>
          <a:ext cx="3573" cy="642745"/>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3323033</xdr:colOff>
      <xdr:row>25</xdr:row>
      <xdr:rowOff>146447</xdr:rowOff>
    </xdr:from>
    <xdr:to>
      <xdr:col>2</xdr:col>
      <xdr:colOff>3325415</xdr:colOff>
      <xdr:row>28</xdr:row>
      <xdr:rowOff>37908</xdr:rowOff>
    </xdr:to>
    <xdr:cxnSp macro="">
      <xdr:nvCxnSpPr>
        <xdr:cNvPr id="25" name="Gerade Verbindung mit Pfeil 24"/>
        <xdr:cNvCxnSpPr/>
      </xdr:nvCxnSpPr>
      <xdr:spPr>
        <a:xfrm flipH="1">
          <a:off x="10181033" y="17077135"/>
          <a:ext cx="2382" cy="462961"/>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3302792</xdr:colOff>
      <xdr:row>22</xdr:row>
      <xdr:rowOff>126207</xdr:rowOff>
    </xdr:from>
    <xdr:to>
      <xdr:col>2</xdr:col>
      <xdr:colOff>3305174</xdr:colOff>
      <xdr:row>25</xdr:row>
      <xdr:rowOff>17668</xdr:rowOff>
    </xdr:to>
    <xdr:cxnSp macro="">
      <xdr:nvCxnSpPr>
        <xdr:cNvPr id="26" name="Gerade Verbindung mit Pfeil 25"/>
        <xdr:cNvCxnSpPr/>
      </xdr:nvCxnSpPr>
      <xdr:spPr>
        <a:xfrm flipH="1">
          <a:off x="10160792" y="16485395"/>
          <a:ext cx="2382" cy="462961"/>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3183727</xdr:colOff>
      <xdr:row>24</xdr:row>
      <xdr:rowOff>122633</xdr:rowOff>
    </xdr:from>
    <xdr:to>
      <xdr:col>3</xdr:col>
      <xdr:colOff>3188489</xdr:colOff>
      <xdr:row>26</xdr:row>
      <xdr:rowOff>47431</xdr:rowOff>
    </xdr:to>
    <xdr:cxnSp macro="">
      <xdr:nvCxnSpPr>
        <xdr:cNvPr id="28" name="Gerade Verbindung mit Pfeil 27"/>
        <xdr:cNvCxnSpPr/>
      </xdr:nvCxnSpPr>
      <xdr:spPr>
        <a:xfrm flipH="1">
          <a:off x="13470727" y="16862821"/>
          <a:ext cx="4762" cy="305798"/>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3193252</xdr:colOff>
      <xdr:row>22</xdr:row>
      <xdr:rowOff>185736</xdr:rowOff>
    </xdr:from>
    <xdr:to>
      <xdr:col>3</xdr:col>
      <xdr:colOff>3198014</xdr:colOff>
      <xdr:row>24</xdr:row>
      <xdr:rowOff>110534</xdr:rowOff>
    </xdr:to>
    <xdr:cxnSp macro="">
      <xdr:nvCxnSpPr>
        <xdr:cNvPr id="29" name="Gerade Verbindung mit Pfeil 28"/>
        <xdr:cNvCxnSpPr/>
      </xdr:nvCxnSpPr>
      <xdr:spPr>
        <a:xfrm flipH="1">
          <a:off x="13480252" y="16544924"/>
          <a:ext cx="4762" cy="305798"/>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3196824</xdr:colOff>
      <xdr:row>21</xdr:row>
      <xdr:rowOff>40480</xdr:rowOff>
    </xdr:from>
    <xdr:to>
      <xdr:col>3</xdr:col>
      <xdr:colOff>3201586</xdr:colOff>
      <xdr:row>22</xdr:row>
      <xdr:rowOff>155778</xdr:rowOff>
    </xdr:to>
    <xdr:cxnSp macro="">
      <xdr:nvCxnSpPr>
        <xdr:cNvPr id="30" name="Gerade Verbindung mit Pfeil 29"/>
        <xdr:cNvCxnSpPr/>
      </xdr:nvCxnSpPr>
      <xdr:spPr>
        <a:xfrm flipH="1">
          <a:off x="13483824" y="16209168"/>
          <a:ext cx="4762" cy="305798"/>
        </a:xfrm>
        <a:prstGeom prst="straightConnector1">
          <a:avLst/>
        </a:prstGeom>
        <a:ln w="6350">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113409</xdr:colOff>
      <xdr:row>6</xdr:row>
      <xdr:rowOff>79960</xdr:rowOff>
    </xdr:from>
    <xdr:to>
      <xdr:col>0</xdr:col>
      <xdr:colOff>3277870</xdr:colOff>
      <xdr:row>17</xdr:row>
      <xdr:rowOff>144460</xdr:rowOff>
    </xdr:to>
    <xdr:pic>
      <xdr:nvPicPr>
        <xdr:cNvPr id="31" name="Grafik 30"/>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113409" y="10988156"/>
          <a:ext cx="3164461" cy="2160000"/>
        </a:xfrm>
        <a:prstGeom prst="rect">
          <a:avLst/>
        </a:prstGeom>
      </xdr:spPr>
    </xdr:pic>
    <xdr:clientData/>
  </xdr:twoCellAnchor>
  <xdr:twoCellAnchor editAs="oneCell">
    <xdr:from>
      <xdr:col>1</xdr:col>
      <xdr:colOff>109173</xdr:colOff>
      <xdr:row>6</xdr:row>
      <xdr:rowOff>128954</xdr:rowOff>
    </xdr:from>
    <xdr:to>
      <xdr:col>1</xdr:col>
      <xdr:colOff>3248764</xdr:colOff>
      <xdr:row>18</xdr:row>
      <xdr:rowOff>2954</xdr:rowOff>
    </xdr:to>
    <xdr:pic>
      <xdr:nvPicPr>
        <xdr:cNvPr id="32" name="Grafik 31"/>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a:off x="3528648" y="10530254"/>
          <a:ext cx="3139591" cy="2160000"/>
        </a:xfrm>
        <a:prstGeom prst="rect">
          <a:avLst/>
        </a:prstGeom>
      </xdr:spPr>
    </xdr:pic>
    <xdr:clientData/>
  </xdr:twoCellAnchor>
  <xdr:twoCellAnchor editAs="oneCell">
    <xdr:from>
      <xdr:col>2</xdr:col>
      <xdr:colOff>182442</xdr:colOff>
      <xdr:row>6</xdr:row>
      <xdr:rowOff>174381</xdr:rowOff>
    </xdr:from>
    <xdr:to>
      <xdr:col>2</xdr:col>
      <xdr:colOff>3345751</xdr:colOff>
      <xdr:row>18</xdr:row>
      <xdr:rowOff>48381</xdr:rowOff>
    </xdr:to>
    <xdr:pic>
      <xdr:nvPicPr>
        <xdr:cNvPr id="33" name="Grafik 32"/>
        <xdr:cNvPicPr>
          <a:picLocks noChangeAspect="1"/>
        </xdr:cNvPicPr>
      </xdr:nvPicPr>
      <xdr:blipFill>
        <a:blip xmlns:r="http://schemas.openxmlformats.org/officeDocument/2006/relationships" r:embed="rId15">
          <a:clrChange>
            <a:clrFrom>
              <a:srgbClr val="FFFFFF"/>
            </a:clrFrom>
            <a:clrTo>
              <a:srgbClr val="FFFFFF">
                <a:alpha val="0"/>
              </a:srgbClr>
            </a:clrTo>
          </a:clrChange>
        </a:blip>
        <a:stretch>
          <a:fillRect/>
        </a:stretch>
      </xdr:blipFill>
      <xdr:spPr>
        <a:xfrm>
          <a:off x="7021392" y="10575681"/>
          <a:ext cx="3163309" cy="2160000"/>
        </a:xfrm>
        <a:prstGeom prst="rect">
          <a:avLst/>
        </a:prstGeom>
      </xdr:spPr>
    </xdr:pic>
    <xdr:clientData/>
  </xdr:twoCellAnchor>
  <xdr:twoCellAnchor editAs="oneCell">
    <xdr:from>
      <xdr:col>3</xdr:col>
      <xdr:colOff>113570</xdr:colOff>
      <xdr:row>7</xdr:row>
      <xdr:rowOff>12456</xdr:rowOff>
    </xdr:from>
    <xdr:to>
      <xdr:col>3</xdr:col>
      <xdr:colOff>3270592</xdr:colOff>
      <xdr:row>18</xdr:row>
      <xdr:rowOff>76956</xdr:rowOff>
    </xdr:to>
    <xdr:pic>
      <xdr:nvPicPr>
        <xdr:cNvPr id="34" name="Grafik 33"/>
        <xdr:cNvPicPr>
          <a:picLocks noChangeAspect="1"/>
        </xdr:cNvPicPr>
      </xdr:nvPicPr>
      <xdr:blipFill>
        <a:blip xmlns:r="http://schemas.openxmlformats.org/officeDocument/2006/relationships" r:embed="rId16">
          <a:clrChange>
            <a:clrFrom>
              <a:srgbClr val="FFFFFF"/>
            </a:clrFrom>
            <a:clrTo>
              <a:srgbClr val="FFFFFF">
                <a:alpha val="0"/>
              </a:srgbClr>
            </a:clrTo>
          </a:clrChange>
        </a:blip>
        <a:stretch>
          <a:fillRect/>
        </a:stretch>
      </xdr:blipFill>
      <xdr:spPr>
        <a:xfrm>
          <a:off x="10371995" y="10604256"/>
          <a:ext cx="3157022" cy="2160000"/>
        </a:xfrm>
        <a:prstGeom prst="rect">
          <a:avLst/>
        </a:prstGeom>
      </xdr:spPr>
    </xdr:pic>
    <xdr:clientData/>
  </xdr:twoCellAnchor>
  <xdr:twoCellAnchor>
    <xdr:from>
      <xdr:col>1</xdr:col>
      <xdr:colOff>960559</xdr:colOff>
      <xdr:row>16</xdr:row>
      <xdr:rowOff>25645</xdr:rowOff>
    </xdr:from>
    <xdr:to>
      <xdr:col>1</xdr:col>
      <xdr:colOff>1905733</xdr:colOff>
      <xdr:row>17</xdr:row>
      <xdr:rowOff>25645</xdr:rowOff>
    </xdr:to>
    <xdr:sp macro="" textlink="'VIO4'!B16">
      <xdr:nvSpPr>
        <xdr:cNvPr id="36" name="Textfeld 35"/>
        <xdr:cNvSpPr txBox="1"/>
      </xdr:nvSpPr>
      <xdr:spPr>
        <a:xfrm>
          <a:off x="4380034" y="12331945"/>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902D4D5-F961-438C-91FB-3CC3BD6B809E}" type="TxLink">
            <a:rPr lang="en-US" sz="800" b="0" i="0" u="none" strike="noStrike">
              <a:solidFill>
                <a:sysClr val="windowText" lastClr="000000"/>
              </a:solidFill>
              <a:latin typeface="Verdana"/>
              <a:ea typeface="Verdana"/>
              <a:cs typeface="Verdana"/>
            </a:rPr>
            <a:pPr/>
            <a:t>37 ( 250 )</a:t>
          </a:fld>
          <a:endParaRPr lang="de-AT" sz="1100">
            <a:solidFill>
              <a:sysClr val="windowText" lastClr="000000"/>
            </a:solidFill>
          </a:endParaRPr>
        </a:p>
      </xdr:txBody>
    </xdr:sp>
    <xdr:clientData/>
  </xdr:twoCellAnchor>
  <xdr:twoCellAnchor>
    <xdr:from>
      <xdr:col>1</xdr:col>
      <xdr:colOff>916597</xdr:colOff>
      <xdr:row>12</xdr:row>
      <xdr:rowOff>15387</xdr:rowOff>
    </xdr:from>
    <xdr:to>
      <xdr:col>1</xdr:col>
      <xdr:colOff>1861771</xdr:colOff>
      <xdr:row>13</xdr:row>
      <xdr:rowOff>15387</xdr:rowOff>
    </xdr:to>
    <xdr:sp macro="" textlink="'VIO4'!B14">
      <xdr:nvSpPr>
        <xdr:cNvPr id="39" name="Textfeld 38"/>
        <xdr:cNvSpPr txBox="1"/>
      </xdr:nvSpPr>
      <xdr:spPr>
        <a:xfrm>
          <a:off x="4336072" y="11559687"/>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9E02A4D-A10A-4A77-937B-6471C191CFE3}" type="TxLink">
            <a:rPr lang="en-US" sz="800" b="0" i="0" u="none" strike="noStrike">
              <a:solidFill>
                <a:sysClr val="windowText" lastClr="000000"/>
              </a:solidFill>
              <a:latin typeface="Verdana"/>
              <a:ea typeface="Verdana"/>
              <a:cs typeface="Verdana"/>
            </a:rPr>
            <a:pPr/>
            <a:t>587</a:t>
          </a:fld>
          <a:endParaRPr lang="de-AT" sz="1100">
            <a:solidFill>
              <a:sysClr val="windowText" lastClr="000000"/>
            </a:solidFill>
          </a:endParaRPr>
        </a:p>
      </xdr:txBody>
    </xdr:sp>
    <xdr:clientData/>
  </xdr:twoCellAnchor>
  <xdr:twoCellAnchor>
    <xdr:from>
      <xdr:col>0</xdr:col>
      <xdr:colOff>965322</xdr:colOff>
      <xdr:row>22</xdr:row>
      <xdr:rowOff>106240</xdr:rowOff>
    </xdr:from>
    <xdr:to>
      <xdr:col>0</xdr:col>
      <xdr:colOff>3134091</xdr:colOff>
      <xdr:row>29</xdr:row>
      <xdr:rowOff>69606</xdr:rowOff>
    </xdr:to>
    <xdr:sp macro="" textlink="">
      <xdr:nvSpPr>
        <xdr:cNvPr id="16" name="Textfeld 15"/>
        <xdr:cNvSpPr txBox="1"/>
      </xdr:nvSpPr>
      <xdr:spPr>
        <a:xfrm>
          <a:off x="965322" y="13536490"/>
          <a:ext cx="2168769" cy="1296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A</a:t>
          </a:r>
        </a:p>
      </xdr:txBody>
    </xdr:sp>
    <xdr:clientData/>
  </xdr:twoCellAnchor>
  <xdr:twoCellAnchor>
    <xdr:from>
      <xdr:col>1</xdr:col>
      <xdr:colOff>820983</xdr:colOff>
      <xdr:row>22</xdr:row>
      <xdr:rowOff>185371</xdr:rowOff>
    </xdr:from>
    <xdr:to>
      <xdr:col>1</xdr:col>
      <xdr:colOff>2989752</xdr:colOff>
      <xdr:row>29</xdr:row>
      <xdr:rowOff>148737</xdr:rowOff>
    </xdr:to>
    <xdr:sp macro="" textlink="">
      <xdr:nvSpPr>
        <xdr:cNvPr id="45" name="Textfeld 44"/>
        <xdr:cNvSpPr txBox="1"/>
      </xdr:nvSpPr>
      <xdr:spPr>
        <a:xfrm>
          <a:off x="4249983" y="16544559"/>
          <a:ext cx="2168769" cy="1296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B</a:t>
          </a: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A</a:t>
          </a:r>
        </a:p>
      </xdr:txBody>
    </xdr:sp>
    <xdr:clientData/>
  </xdr:twoCellAnchor>
  <xdr:twoCellAnchor>
    <xdr:from>
      <xdr:col>2</xdr:col>
      <xdr:colOff>968986</xdr:colOff>
      <xdr:row>22</xdr:row>
      <xdr:rowOff>122726</xdr:rowOff>
    </xdr:from>
    <xdr:to>
      <xdr:col>2</xdr:col>
      <xdr:colOff>3137755</xdr:colOff>
      <xdr:row>29</xdr:row>
      <xdr:rowOff>86092</xdr:rowOff>
    </xdr:to>
    <xdr:sp macro="" textlink="">
      <xdr:nvSpPr>
        <xdr:cNvPr id="46" name="Textfeld 45"/>
        <xdr:cNvSpPr txBox="1"/>
      </xdr:nvSpPr>
      <xdr:spPr>
        <a:xfrm>
          <a:off x="7826986" y="16481914"/>
          <a:ext cx="2168769" cy="1296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C</a:t>
          </a: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B</a:t>
          </a: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A</a:t>
          </a:r>
        </a:p>
      </xdr:txBody>
    </xdr:sp>
    <xdr:clientData/>
  </xdr:twoCellAnchor>
  <xdr:twoCellAnchor>
    <xdr:from>
      <xdr:col>3</xdr:col>
      <xdr:colOff>883260</xdr:colOff>
      <xdr:row>21</xdr:row>
      <xdr:rowOff>152401</xdr:rowOff>
    </xdr:from>
    <xdr:to>
      <xdr:col>3</xdr:col>
      <xdr:colOff>3052029</xdr:colOff>
      <xdr:row>28</xdr:row>
      <xdr:rowOff>115767</xdr:rowOff>
    </xdr:to>
    <xdr:sp macro="" textlink="">
      <xdr:nvSpPr>
        <xdr:cNvPr id="47" name="Textfeld 46"/>
        <xdr:cNvSpPr txBox="1"/>
      </xdr:nvSpPr>
      <xdr:spPr>
        <a:xfrm>
          <a:off x="11170260" y="16321089"/>
          <a:ext cx="2168769" cy="1296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D</a:t>
          </a: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C</a:t>
          </a: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B</a:t>
          </a:r>
        </a:p>
        <a:p>
          <a:pPr algn="ctr"/>
          <a:endParaRPr lang="de-AT" sz="1100" b="1">
            <a:solidFill>
              <a:schemeClr val="bg1"/>
            </a:solidFill>
            <a:latin typeface="Verdana" panose="020B0604030504040204" pitchFamily="34" charset="0"/>
            <a:ea typeface="Verdana" panose="020B0604030504040204" pitchFamily="34" charset="0"/>
            <a:cs typeface="Verdana" panose="020B0604030504040204" pitchFamily="34" charset="0"/>
          </a:endParaRPr>
        </a:p>
        <a:p>
          <a:pPr algn="ctr"/>
          <a:r>
            <a:rPr lang="de-AT" sz="1100" b="1">
              <a:solidFill>
                <a:schemeClr val="bg1"/>
              </a:solidFill>
              <a:latin typeface="Verdana" panose="020B0604030504040204" pitchFamily="34" charset="0"/>
              <a:ea typeface="Verdana" panose="020B0604030504040204" pitchFamily="34" charset="0"/>
              <a:cs typeface="Verdana" panose="020B0604030504040204" pitchFamily="34" charset="0"/>
            </a:rPr>
            <a:t>A</a:t>
          </a:r>
        </a:p>
      </xdr:txBody>
    </xdr:sp>
    <xdr:clientData/>
  </xdr:twoCellAnchor>
  <xdr:twoCellAnchor>
    <xdr:from>
      <xdr:col>3</xdr:col>
      <xdr:colOff>800831</xdr:colOff>
      <xdr:row>10</xdr:row>
      <xdr:rowOff>98915</xdr:rowOff>
    </xdr:from>
    <xdr:to>
      <xdr:col>3</xdr:col>
      <xdr:colOff>1756262</xdr:colOff>
      <xdr:row>17</xdr:row>
      <xdr:rowOff>161926</xdr:rowOff>
    </xdr:to>
    <xdr:grpSp>
      <xdr:nvGrpSpPr>
        <xdr:cNvPr id="18" name="Gruppieren 17"/>
        <xdr:cNvGrpSpPr/>
      </xdr:nvGrpSpPr>
      <xdr:grpSpPr>
        <a:xfrm>
          <a:off x="11059256" y="16710515"/>
          <a:ext cx="955431" cy="1396511"/>
          <a:chOff x="10783764" y="6512171"/>
          <a:chExt cx="955431" cy="1396511"/>
        </a:xfrm>
      </xdr:grpSpPr>
      <xdr:sp macro="" textlink="'VIO4'!B10">
        <xdr:nvSpPr>
          <xdr:cNvPr id="44" name="Textfeld 43"/>
          <xdr:cNvSpPr txBox="1"/>
        </xdr:nvSpPr>
        <xdr:spPr>
          <a:xfrm>
            <a:off x="10783764" y="6512171"/>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A58720C-1073-400A-8D7F-90836D6D60BD}" type="TxLink">
              <a:rPr lang="en-US" sz="800" b="0" i="0" u="none" strike="noStrike">
                <a:solidFill>
                  <a:sysClr val="windowText" lastClr="000000"/>
                </a:solidFill>
                <a:latin typeface="Verdana"/>
                <a:ea typeface="Verdana"/>
                <a:cs typeface="Verdana"/>
              </a:rPr>
              <a:pPr/>
              <a:t> </a:t>
            </a:fld>
            <a:endParaRPr lang="de-AT" sz="1100">
              <a:solidFill>
                <a:sysClr val="windowText" lastClr="000000"/>
              </a:solidFill>
            </a:endParaRPr>
          </a:p>
        </xdr:txBody>
      </xdr:sp>
      <xdr:grpSp>
        <xdr:nvGrpSpPr>
          <xdr:cNvPr id="17" name="Gruppieren 16"/>
          <xdr:cNvGrpSpPr/>
        </xdr:nvGrpSpPr>
        <xdr:grpSpPr>
          <a:xfrm>
            <a:off x="10785229" y="6953252"/>
            <a:ext cx="953966" cy="955430"/>
            <a:chOff x="10785229" y="6953252"/>
            <a:chExt cx="953966" cy="955430"/>
          </a:xfrm>
        </xdr:grpSpPr>
        <xdr:sp macro="" textlink="'VIO4'!B16">
          <xdr:nvSpPr>
            <xdr:cNvPr id="38" name="Textfeld 37"/>
            <xdr:cNvSpPr txBox="1"/>
          </xdr:nvSpPr>
          <xdr:spPr>
            <a:xfrm>
              <a:off x="10788160" y="7718182"/>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775CB20-BA40-4885-9FDF-75D8DBFE822F}" type="TxLink">
                <a:rPr lang="en-US" sz="800" b="0" i="0" u="none" strike="noStrike">
                  <a:solidFill>
                    <a:sysClr val="windowText" lastClr="000000"/>
                  </a:solidFill>
                  <a:latin typeface="Verdana"/>
                  <a:ea typeface="Verdana"/>
                  <a:cs typeface="Verdana"/>
                </a:rPr>
                <a:pPr/>
                <a:t>37 ( 250 )</a:t>
              </a:fld>
              <a:endParaRPr lang="de-AT" sz="1100">
                <a:solidFill>
                  <a:sysClr val="windowText" lastClr="000000"/>
                </a:solidFill>
              </a:endParaRPr>
            </a:p>
          </xdr:txBody>
        </xdr:sp>
        <xdr:sp macro="" textlink="'VIO4'!B14">
          <xdr:nvSpPr>
            <xdr:cNvPr id="41" name="Textfeld 40"/>
            <xdr:cNvSpPr txBox="1"/>
          </xdr:nvSpPr>
          <xdr:spPr>
            <a:xfrm>
              <a:off x="10794021" y="7372351"/>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E649F5B-503B-4361-8BAD-92C52254DCF8}" type="TxLink">
                <a:rPr lang="en-US" sz="800" b="0" i="0" u="none" strike="noStrike">
                  <a:solidFill>
                    <a:sysClr val="windowText" lastClr="000000"/>
                  </a:solidFill>
                  <a:latin typeface="Verdana"/>
                  <a:ea typeface="Verdana"/>
                  <a:cs typeface="Verdana"/>
                </a:rPr>
                <a:pPr/>
                <a:t>587</a:t>
              </a:fld>
              <a:endParaRPr lang="de-AT" sz="1100">
                <a:solidFill>
                  <a:sysClr val="windowText" lastClr="000000"/>
                </a:solidFill>
              </a:endParaRPr>
            </a:p>
          </xdr:txBody>
        </xdr:sp>
        <xdr:sp macro="" textlink="'VIO4'!B12">
          <xdr:nvSpPr>
            <xdr:cNvPr id="43" name="Textfeld 42"/>
            <xdr:cNvSpPr txBox="1"/>
          </xdr:nvSpPr>
          <xdr:spPr>
            <a:xfrm>
              <a:off x="10785229" y="6953252"/>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D278BDA-E637-4FCE-B8FF-FDC7D52D253A}" type="TxLink">
                <a:rPr lang="en-US" sz="800" b="0" i="0" u="none" strike="noStrike">
                  <a:solidFill>
                    <a:sysClr val="windowText" lastClr="000000"/>
                  </a:solidFill>
                  <a:latin typeface="Verdana"/>
                  <a:ea typeface="Verdana"/>
                  <a:cs typeface="Verdana"/>
                </a:rPr>
                <a:pPr/>
                <a:t> </a:t>
              </a:fld>
              <a:endParaRPr lang="de-AT" sz="1100">
                <a:solidFill>
                  <a:sysClr val="windowText" lastClr="000000"/>
                </a:solidFill>
              </a:endParaRPr>
            </a:p>
          </xdr:txBody>
        </xdr:sp>
      </xdr:grpSp>
    </xdr:grpSp>
    <xdr:clientData/>
  </xdr:twoCellAnchor>
  <xdr:twoCellAnchor>
    <xdr:from>
      <xdr:col>2</xdr:col>
      <xdr:colOff>853586</xdr:colOff>
      <xdr:row>11</xdr:row>
      <xdr:rowOff>14655</xdr:rowOff>
    </xdr:from>
    <xdr:to>
      <xdr:col>2</xdr:col>
      <xdr:colOff>1825136</xdr:colOff>
      <xdr:row>17</xdr:row>
      <xdr:rowOff>142143</xdr:rowOff>
    </xdr:to>
    <xdr:grpSp>
      <xdr:nvGrpSpPr>
        <xdr:cNvPr id="22" name="Gruppieren 21"/>
        <xdr:cNvGrpSpPr/>
      </xdr:nvGrpSpPr>
      <xdr:grpSpPr>
        <a:xfrm>
          <a:off x="7692536" y="16816755"/>
          <a:ext cx="971550" cy="1270488"/>
          <a:chOff x="7448549" y="6646986"/>
          <a:chExt cx="971550" cy="1270488"/>
        </a:xfrm>
      </xdr:grpSpPr>
      <xdr:sp macro="" textlink="'VIO4'!B16">
        <xdr:nvSpPr>
          <xdr:cNvPr id="37" name="Textfeld 36"/>
          <xdr:cNvSpPr txBox="1"/>
        </xdr:nvSpPr>
        <xdr:spPr>
          <a:xfrm>
            <a:off x="7448549" y="7726974"/>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0600B7A-8500-40D2-AD87-62D20DDD4D5F}" type="TxLink">
              <a:rPr lang="en-US" sz="800" b="0" i="0" u="none" strike="noStrike">
                <a:solidFill>
                  <a:sysClr val="windowText" lastClr="000000"/>
                </a:solidFill>
                <a:latin typeface="Verdana"/>
                <a:ea typeface="Verdana"/>
                <a:cs typeface="Verdana"/>
              </a:rPr>
              <a:pPr/>
              <a:t>37 ( 250 )</a:t>
            </a:fld>
            <a:endParaRPr lang="de-AT" sz="1100">
              <a:solidFill>
                <a:sysClr val="windowText" lastClr="000000"/>
              </a:solidFill>
            </a:endParaRPr>
          </a:p>
        </xdr:txBody>
      </xdr:sp>
      <xdr:sp macro="" textlink="'VIO4'!B14">
        <xdr:nvSpPr>
          <xdr:cNvPr id="40" name="Textfeld 39"/>
          <xdr:cNvSpPr txBox="1"/>
        </xdr:nvSpPr>
        <xdr:spPr>
          <a:xfrm>
            <a:off x="7469064" y="7219951"/>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A0C83FF-44FA-4334-92D9-E8AACAB90F95}" type="TxLink">
              <a:rPr lang="en-US" sz="800" b="0" i="0" u="none" strike="noStrike">
                <a:solidFill>
                  <a:sysClr val="windowText" lastClr="000000"/>
                </a:solidFill>
                <a:latin typeface="Verdana"/>
                <a:ea typeface="Verdana"/>
                <a:cs typeface="Verdana"/>
              </a:rPr>
              <a:pPr/>
              <a:t>587</a:t>
            </a:fld>
            <a:endParaRPr lang="de-AT" sz="1100">
              <a:solidFill>
                <a:sysClr val="windowText" lastClr="000000"/>
              </a:solidFill>
            </a:endParaRPr>
          </a:p>
        </xdr:txBody>
      </xdr:sp>
      <xdr:sp macro="" textlink="'VIO4'!B12">
        <xdr:nvSpPr>
          <xdr:cNvPr id="42" name="Textfeld 41"/>
          <xdr:cNvSpPr txBox="1"/>
        </xdr:nvSpPr>
        <xdr:spPr>
          <a:xfrm>
            <a:off x="7474925" y="6646986"/>
            <a:ext cx="94517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D278BDA-E637-4FCE-B8FF-FDC7D52D253A}" type="TxLink">
              <a:rPr lang="en-US" sz="800" b="0" i="0" u="none" strike="noStrike">
                <a:solidFill>
                  <a:sysClr val="windowText" lastClr="000000"/>
                </a:solidFill>
                <a:latin typeface="Verdana"/>
                <a:ea typeface="Verdana"/>
                <a:cs typeface="Verdana"/>
              </a:rPr>
              <a:pPr/>
              <a:t> </a:t>
            </a:fld>
            <a:endParaRPr lang="de-AT" sz="1100">
              <a:solidFill>
                <a:sysClr val="windowText" lastClr="000000"/>
              </a:solidFill>
            </a:endParaRPr>
          </a:p>
        </xdr:txBody>
      </xdr:sp>
    </xdr:grpSp>
    <xdr:clientData/>
  </xdr:twoCellAnchor>
  <xdr:twoCellAnchor>
    <xdr:from>
      <xdr:col>0</xdr:col>
      <xdr:colOff>1712336</xdr:colOff>
      <xdr:row>0</xdr:row>
      <xdr:rowOff>355412</xdr:rowOff>
    </xdr:from>
    <xdr:to>
      <xdr:col>0</xdr:col>
      <xdr:colOff>1712336</xdr:colOff>
      <xdr:row>0</xdr:row>
      <xdr:rowOff>1637624</xdr:rowOff>
    </xdr:to>
    <xdr:cxnSp macro="">
      <xdr:nvCxnSpPr>
        <xdr:cNvPr id="27" name="Gerade Verbindung mit Pfeil 26"/>
        <xdr:cNvCxnSpPr/>
      </xdr:nvCxnSpPr>
      <xdr:spPr>
        <a:xfrm>
          <a:off x="1712336" y="355412"/>
          <a:ext cx="0" cy="1282212"/>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1526806</xdr:colOff>
      <xdr:row>0</xdr:row>
      <xdr:rowOff>355023</xdr:rowOff>
    </xdr:from>
    <xdr:to>
      <xdr:col>0</xdr:col>
      <xdr:colOff>1717306</xdr:colOff>
      <xdr:row>0</xdr:row>
      <xdr:rowOff>1636568</xdr:rowOff>
    </xdr:to>
    <xdr:sp macro="" textlink="Formeln!A14">
      <xdr:nvSpPr>
        <xdr:cNvPr id="53" name="Textfeld 52"/>
        <xdr:cNvSpPr txBox="1"/>
      </xdr:nvSpPr>
      <xdr:spPr>
        <a:xfrm rot="16200000">
          <a:off x="981283" y="900546"/>
          <a:ext cx="128154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7B4F59F-AF61-46F7-A42B-6368130CFF36}" type="TxLink">
            <a:rPr lang="en-US" sz="1100" b="0" i="0" u="none" strike="noStrike">
              <a:solidFill>
                <a:schemeClr val="bg1"/>
              </a:solidFill>
              <a:latin typeface="Calibri"/>
              <a:ea typeface="Verdana"/>
              <a:cs typeface="Calibri"/>
            </a:rPr>
            <a:pPr algn="ctr"/>
            <a:t>560</a:t>
          </a:fld>
          <a:endParaRPr lang="de-AT" sz="1100">
            <a:solidFill>
              <a:schemeClr val="bg1"/>
            </a:solidFill>
          </a:endParaRPr>
        </a:p>
      </xdr:txBody>
    </xdr:sp>
    <xdr:clientData/>
  </xdr:twoCellAnchor>
  <xdr:twoCellAnchor editAs="oneCell">
    <xdr:from>
      <xdr:col>0</xdr:col>
      <xdr:colOff>21980</xdr:colOff>
      <xdr:row>1</xdr:row>
      <xdr:rowOff>19050</xdr:rowOff>
    </xdr:from>
    <xdr:to>
      <xdr:col>1</xdr:col>
      <xdr:colOff>46758</xdr:colOff>
      <xdr:row>2</xdr:row>
      <xdr:rowOff>23223</xdr:rowOff>
    </xdr:to>
    <xdr:pic>
      <xdr:nvPicPr>
        <xdr:cNvPr id="52" name="Grafik 51"/>
        <xdr:cNvPicPr>
          <a:picLocks noChangeAspect="1"/>
        </xdr:cNvPicPr>
      </xdr:nvPicPr>
      <xdr:blipFill rotWithShape="1">
        <a:blip xmlns:r="http://schemas.openxmlformats.org/officeDocument/2006/relationships" r:embed="rId8"/>
        <a:srcRect t="24871" b="13216"/>
        <a:stretch/>
      </xdr:blipFill>
      <xdr:spPr>
        <a:xfrm>
          <a:off x="21980" y="1792165"/>
          <a:ext cx="3445119" cy="2033731"/>
        </a:xfrm>
        <a:prstGeom prst="rect">
          <a:avLst/>
        </a:prstGeom>
      </xdr:spPr>
    </xdr:pic>
    <xdr:clientData/>
  </xdr:twoCellAnchor>
  <xdr:twoCellAnchor editAs="oneCell">
    <xdr:from>
      <xdr:col>1</xdr:col>
      <xdr:colOff>31505</xdr:colOff>
      <xdr:row>1</xdr:row>
      <xdr:rowOff>19049</xdr:rowOff>
    </xdr:from>
    <xdr:to>
      <xdr:col>1</xdr:col>
      <xdr:colOff>3359444</xdr:colOff>
      <xdr:row>2</xdr:row>
      <xdr:rowOff>28575</xdr:rowOff>
    </xdr:to>
    <xdr:pic>
      <xdr:nvPicPr>
        <xdr:cNvPr id="54" name="Grafik 53"/>
        <xdr:cNvPicPr>
          <a:picLocks noChangeAspect="1"/>
        </xdr:cNvPicPr>
      </xdr:nvPicPr>
      <xdr:blipFill rotWithShape="1">
        <a:blip xmlns:r="http://schemas.openxmlformats.org/officeDocument/2006/relationships" r:embed="rId9"/>
        <a:srcRect t="23813" b="11629"/>
        <a:stretch/>
      </xdr:blipFill>
      <xdr:spPr>
        <a:xfrm>
          <a:off x="3687640" y="1792164"/>
          <a:ext cx="3325008" cy="2039084"/>
        </a:xfrm>
        <a:prstGeom prst="rect">
          <a:avLst/>
        </a:prstGeom>
      </xdr:spPr>
    </xdr:pic>
    <xdr:clientData/>
  </xdr:twoCellAnchor>
  <xdr:twoCellAnchor editAs="oneCell">
    <xdr:from>
      <xdr:col>2</xdr:col>
      <xdr:colOff>21980</xdr:colOff>
      <xdr:row>1</xdr:row>
      <xdr:rowOff>19049</xdr:rowOff>
    </xdr:from>
    <xdr:to>
      <xdr:col>2</xdr:col>
      <xdr:colOff>3337771</xdr:colOff>
      <xdr:row>2</xdr:row>
      <xdr:rowOff>57149</xdr:rowOff>
    </xdr:to>
    <xdr:pic>
      <xdr:nvPicPr>
        <xdr:cNvPr id="55" name="Grafik 54"/>
        <xdr:cNvPicPr>
          <a:picLocks noChangeAspect="1"/>
        </xdr:cNvPicPr>
      </xdr:nvPicPr>
      <xdr:blipFill rotWithShape="1">
        <a:blip xmlns:r="http://schemas.openxmlformats.org/officeDocument/2006/relationships" r:embed="rId10"/>
        <a:srcRect t="22225" b="12158"/>
        <a:stretch/>
      </xdr:blipFill>
      <xdr:spPr>
        <a:xfrm>
          <a:off x="6989884" y="1792164"/>
          <a:ext cx="3312860" cy="2067658"/>
        </a:xfrm>
        <a:prstGeom prst="rect">
          <a:avLst/>
        </a:prstGeom>
      </xdr:spPr>
    </xdr:pic>
    <xdr:clientData/>
  </xdr:twoCellAnchor>
  <xdr:twoCellAnchor editAs="oneCell">
    <xdr:from>
      <xdr:col>4</xdr:col>
      <xdr:colOff>31505</xdr:colOff>
      <xdr:row>1</xdr:row>
      <xdr:rowOff>19049</xdr:rowOff>
    </xdr:from>
    <xdr:to>
      <xdr:col>5</xdr:col>
      <xdr:colOff>21978</xdr:colOff>
      <xdr:row>2</xdr:row>
      <xdr:rowOff>185935</xdr:rowOff>
    </xdr:to>
    <xdr:pic>
      <xdr:nvPicPr>
        <xdr:cNvPr id="57" name="Grafik 56"/>
        <xdr:cNvPicPr>
          <a:picLocks noChangeAspect="1"/>
        </xdr:cNvPicPr>
      </xdr:nvPicPr>
      <xdr:blipFill rotWithShape="1">
        <a:blip xmlns:r="http://schemas.openxmlformats.org/officeDocument/2006/relationships" r:embed="rId12"/>
        <a:srcRect t="20109" b="10042"/>
        <a:stretch/>
      </xdr:blipFill>
      <xdr:spPr>
        <a:xfrm>
          <a:off x="13622947" y="1792164"/>
          <a:ext cx="3302244" cy="2196444"/>
        </a:xfrm>
        <a:prstGeom prst="rect">
          <a:avLst/>
        </a:prstGeom>
      </xdr:spPr>
    </xdr:pic>
    <xdr:clientData/>
  </xdr:twoCellAnchor>
  <xdr:twoCellAnchor>
    <xdr:from>
      <xdr:col>0</xdr:col>
      <xdr:colOff>2570954</xdr:colOff>
      <xdr:row>0</xdr:row>
      <xdr:rowOff>1347789</xdr:rowOff>
    </xdr:from>
    <xdr:to>
      <xdr:col>0</xdr:col>
      <xdr:colOff>2886317</xdr:colOff>
      <xdr:row>0</xdr:row>
      <xdr:rowOff>1624685</xdr:rowOff>
    </xdr:to>
    <xdr:sp macro="" textlink="">
      <xdr:nvSpPr>
        <xdr:cNvPr id="72" name="Textfeld 71"/>
        <xdr:cNvSpPr txBox="1"/>
      </xdr:nvSpPr>
      <xdr:spPr>
        <a:xfrm>
          <a:off x="2570954" y="1347789"/>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A</a:t>
          </a:r>
        </a:p>
      </xdr:txBody>
    </xdr:sp>
    <xdr:clientData/>
  </xdr:twoCellAnchor>
  <xdr:twoCellAnchor>
    <xdr:from>
      <xdr:col>1</xdr:col>
      <xdr:colOff>1746250</xdr:colOff>
      <xdr:row>0</xdr:row>
      <xdr:rowOff>996950</xdr:rowOff>
    </xdr:from>
    <xdr:to>
      <xdr:col>1</xdr:col>
      <xdr:colOff>1750436</xdr:colOff>
      <xdr:row>0</xdr:row>
      <xdr:rowOff>1643974</xdr:rowOff>
    </xdr:to>
    <xdr:cxnSp macro="">
      <xdr:nvCxnSpPr>
        <xdr:cNvPr id="73" name="Gerade Verbindung mit Pfeil 72"/>
        <xdr:cNvCxnSpPr/>
      </xdr:nvCxnSpPr>
      <xdr:spPr>
        <a:xfrm>
          <a:off x="5168900" y="996950"/>
          <a:ext cx="4186" cy="64702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1739900</xdr:colOff>
      <xdr:row>0</xdr:row>
      <xdr:rowOff>355600</xdr:rowOff>
    </xdr:from>
    <xdr:to>
      <xdr:col>1</xdr:col>
      <xdr:colOff>1744086</xdr:colOff>
      <xdr:row>0</xdr:row>
      <xdr:rowOff>1002624</xdr:rowOff>
    </xdr:to>
    <xdr:cxnSp macro="">
      <xdr:nvCxnSpPr>
        <xdr:cNvPr id="75" name="Gerade Verbindung mit Pfeil 74"/>
        <xdr:cNvCxnSpPr/>
      </xdr:nvCxnSpPr>
      <xdr:spPr>
        <a:xfrm>
          <a:off x="5162550" y="355600"/>
          <a:ext cx="4186" cy="64702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1552207</xdr:colOff>
      <xdr:row>0</xdr:row>
      <xdr:rowOff>996950</xdr:rowOff>
    </xdr:from>
    <xdr:to>
      <xdr:col>1</xdr:col>
      <xdr:colOff>1742707</xdr:colOff>
      <xdr:row>0</xdr:row>
      <xdr:rowOff>1655620</xdr:rowOff>
    </xdr:to>
    <xdr:sp macro="" textlink="Formeln!A14">
      <xdr:nvSpPr>
        <xdr:cNvPr id="76" name="Textfeld 75"/>
        <xdr:cNvSpPr txBox="1"/>
      </xdr:nvSpPr>
      <xdr:spPr>
        <a:xfrm rot="16200000">
          <a:off x="4740772" y="1231035"/>
          <a:ext cx="65867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7B4F59F-AF61-46F7-A42B-6368130CFF36}" type="TxLink">
            <a:rPr lang="en-US" sz="1100" b="0" i="0" u="none" strike="noStrike">
              <a:solidFill>
                <a:schemeClr val="bg1"/>
              </a:solidFill>
              <a:latin typeface="Calibri"/>
              <a:ea typeface="Verdana"/>
              <a:cs typeface="Calibri"/>
            </a:rPr>
            <a:pPr algn="ctr"/>
            <a:t>560</a:t>
          </a:fld>
          <a:endParaRPr lang="de-AT" sz="1100">
            <a:solidFill>
              <a:schemeClr val="bg1"/>
            </a:solidFill>
          </a:endParaRPr>
        </a:p>
      </xdr:txBody>
    </xdr:sp>
    <xdr:clientData/>
  </xdr:twoCellAnchor>
  <xdr:twoCellAnchor>
    <xdr:from>
      <xdr:col>1</xdr:col>
      <xdr:colOff>1558557</xdr:colOff>
      <xdr:row>0</xdr:row>
      <xdr:rowOff>342900</xdr:rowOff>
    </xdr:from>
    <xdr:to>
      <xdr:col>1</xdr:col>
      <xdr:colOff>1749057</xdr:colOff>
      <xdr:row>0</xdr:row>
      <xdr:rowOff>1001570</xdr:rowOff>
    </xdr:to>
    <xdr:sp macro="" textlink="Formeln!A22">
      <xdr:nvSpPr>
        <xdr:cNvPr id="77" name="Textfeld 76"/>
        <xdr:cNvSpPr txBox="1"/>
      </xdr:nvSpPr>
      <xdr:spPr>
        <a:xfrm rot="16200000">
          <a:off x="4747122" y="576985"/>
          <a:ext cx="65867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1E3356-DFB0-42C8-A569-129D108489F6}" type="TxLink">
            <a:rPr lang="en-US" sz="1100" b="0" i="0" u="none" strike="noStrike">
              <a:solidFill>
                <a:schemeClr val="bg1"/>
              </a:solidFill>
              <a:latin typeface="Calibri"/>
              <a:ea typeface="Verdana"/>
              <a:cs typeface="Calibri"/>
            </a:rPr>
            <a:pPr algn="ctr"/>
            <a:t>140</a:t>
          </a:fld>
          <a:endParaRPr lang="de-AT" sz="1100">
            <a:solidFill>
              <a:schemeClr val="bg1"/>
            </a:solidFill>
          </a:endParaRPr>
        </a:p>
      </xdr:txBody>
    </xdr:sp>
    <xdr:clientData/>
  </xdr:twoCellAnchor>
  <xdr:twoCellAnchor>
    <xdr:from>
      <xdr:col>1</xdr:col>
      <xdr:colOff>2609850</xdr:colOff>
      <xdr:row>0</xdr:row>
      <xdr:rowOff>1365250</xdr:rowOff>
    </xdr:from>
    <xdr:to>
      <xdr:col>1</xdr:col>
      <xdr:colOff>2925213</xdr:colOff>
      <xdr:row>0</xdr:row>
      <xdr:rowOff>1642146</xdr:rowOff>
    </xdr:to>
    <xdr:sp macro="" textlink="">
      <xdr:nvSpPr>
        <xdr:cNvPr id="78" name="Textfeld 77"/>
        <xdr:cNvSpPr txBox="1"/>
      </xdr:nvSpPr>
      <xdr:spPr>
        <a:xfrm>
          <a:off x="6032500" y="136525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A</a:t>
          </a:r>
        </a:p>
      </xdr:txBody>
    </xdr:sp>
    <xdr:clientData/>
  </xdr:twoCellAnchor>
  <xdr:twoCellAnchor>
    <xdr:from>
      <xdr:col>1</xdr:col>
      <xdr:colOff>2603500</xdr:colOff>
      <xdr:row>0</xdr:row>
      <xdr:rowOff>723900</xdr:rowOff>
    </xdr:from>
    <xdr:to>
      <xdr:col>1</xdr:col>
      <xdr:colOff>2918863</xdr:colOff>
      <xdr:row>0</xdr:row>
      <xdr:rowOff>1000796</xdr:rowOff>
    </xdr:to>
    <xdr:sp macro="" textlink="">
      <xdr:nvSpPr>
        <xdr:cNvPr id="79" name="Textfeld 78"/>
        <xdr:cNvSpPr txBox="1"/>
      </xdr:nvSpPr>
      <xdr:spPr>
        <a:xfrm>
          <a:off x="6026150" y="72390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B</a:t>
          </a:r>
        </a:p>
      </xdr:txBody>
    </xdr:sp>
    <xdr:clientData/>
  </xdr:twoCellAnchor>
  <xdr:twoCellAnchor>
    <xdr:from>
      <xdr:col>2</xdr:col>
      <xdr:colOff>1003300</xdr:colOff>
      <xdr:row>0</xdr:row>
      <xdr:rowOff>1238250</xdr:rowOff>
    </xdr:from>
    <xdr:to>
      <xdr:col>2</xdr:col>
      <xdr:colOff>1007486</xdr:colOff>
      <xdr:row>0</xdr:row>
      <xdr:rowOff>1663024</xdr:rowOff>
    </xdr:to>
    <xdr:cxnSp macro="">
      <xdr:nvCxnSpPr>
        <xdr:cNvPr id="80" name="Gerade Verbindung mit Pfeil 79"/>
        <xdr:cNvCxnSpPr/>
      </xdr:nvCxnSpPr>
      <xdr:spPr>
        <a:xfrm>
          <a:off x="7740650" y="1238250"/>
          <a:ext cx="4186" cy="4247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809257</xdr:colOff>
      <xdr:row>0</xdr:row>
      <xdr:rowOff>1257300</xdr:rowOff>
    </xdr:from>
    <xdr:to>
      <xdr:col>2</xdr:col>
      <xdr:colOff>999757</xdr:colOff>
      <xdr:row>0</xdr:row>
      <xdr:rowOff>1674670</xdr:rowOff>
    </xdr:to>
    <xdr:sp macro="" textlink="Formeln!A14">
      <xdr:nvSpPr>
        <xdr:cNvPr id="82" name="Textfeld 81"/>
        <xdr:cNvSpPr txBox="1"/>
      </xdr:nvSpPr>
      <xdr:spPr>
        <a:xfrm rot="16200000">
          <a:off x="7433172" y="1370735"/>
          <a:ext cx="41737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7B4F59F-AF61-46F7-A42B-6368130CFF36}" type="TxLink">
            <a:rPr lang="en-US" sz="1100" b="0" i="0" u="none" strike="noStrike">
              <a:solidFill>
                <a:schemeClr val="bg1"/>
              </a:solidFill>
              <a:latin typeface="Calibri"/>
              <a:ea typeface="Verdana"/>
              <a:cs typeface="Calibri"/>
            </a:rPr>
            <a:pPr algn="ctr"/>
            <a:t>560</a:t>
          </a:fld>
          <a:endParaRPr lang="de-AT" sz="1100">
            <a:solidFill>
              <a:schemeClr val="bg1"/>
            </a:solidFill>
          </a:endParaRPr>
        </a:p>
      </xdr:txBody>
    </xdr:sp>
    <xdr:clientData/>
  </xdr:twoCellAnchor>
  <xdr:twoCellAnchor>
    <xdr:from>
      <xdr:col>2</xdr:col>
      <xdr:colOff>815607</xdr:colOff>
      <xdr:row>0</xdr:row>
      <xdr:rowOff>825500</xdr:rowOff>
    </xdr:from>
    <xdr:to>
      <xdr:col>2</xdr:col>
      <xdr:colOff>1006107</xdr:colOff>
      <xdr:row>0</xdr:row>
      <xdr:rowOff>1238250</xdr:rowOff>
    </xdr:to>
    <xdr:sp macro="" textlink="Formeln!A22">
      <xdr:nvSpPr>
        <xdr:cNvPr id="83" name="Textfeld 82"/>
        <xdr:cNvSpPr txBox="1"/>
      </xdr:nvSpPr>
      <xdr:spPr>
        <a:xfrm rot="16200000">
          <a:off x="7441832" y="936625"/>
          <a:ext cx="4127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1E3356-DFB0-42C8-A569-129D108489F6}" type="TxLink">
            <a:rPr lang="en-US" sz="1100" b="0" i="0" u="none" strike="noStrike">
              <a:solidFill>
                <a:schemeClr val="bg1"/>
              </a:solidFill>
              <a:latin typeface="Calibri"/>
              <a:ea typeface="Verdana"/>
              <a:cs typeface="Calibri"/>
            </a:rPr>
            <a:pPr algn="ctr"/>
            <a:t>140</a:t>
          </a:fld>
          <a:endParaRPr lang="de-AT" sz="1100">
            <a:solidFill>
              <a:schemeClr val="bg1"/>
            </a:solidFill>
          </a:endParaRPr>
        </a:p>
      </xdr:txBody>
    </xdr:sp>
    <xdr:clientData/>
  </xdr:twoCellAnchor>
  <xdr:twoCellAnchor>
    <xdr:from>
      <xdr:col>2</xdr:col>
      <xdr:colOff>996950</xdr:colOff>
      <xdr:row>0</xdr:row>
      <xdr:rowOff>819150</xdr:rowOff>
    </xdr:from>
    <xdr:to>
      <xdr:col>2</xdr:col>
      <xdr:colOff>1001136</xdr:colOff>
      <xdr:row>0</xdr:row>
      <xdr:rowOff>1243924</xdr:rowOff>
    </xdr:to>
    <xdr:cxnSp macro="">
      <xdr:nvCxnSpPr>
        <xdr:cNvPr id="85" name="Gerade Verbindung mit Pfeil 84"/>
        <xdr:cNvCxnSpPr/>
      </xdr:nvCxnSpPr>
      <xdr:spPr>
        <a:xfrm>
          <a:off x="7734300" y="819150"/>
          <a:ext cx="4186" cy="4247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996950</xdr:colOff>
      <xdr:row>0</xdr:row>
      <xdr:rowOff>387350</xdr:rowOff>
    </xdr:from>
    <xdr:to>
      <xdr:col>2</xdr:col>
      <xdr:colOff>1001136</xdr:colOff>
      <xdr:row>0</xdr:row>
      <xdr:rowOff>812124</xdr:rowOff>
    </xdr:to>
    <xdr:cxnSp macro="">
      <xdr:nvCxnSpPr>
        <xdr:cNvPr id="86" name="Gerade Verbindung mit Pfeil 85"/>
        <xdr:cNvCxnSpPr/>
      </xdr:nvCxnSpPr>
      <xdr:spPr>
        <a:xfrm>
          <a:off x="7734300" y="387350"/>
          <a:ext cx="4186" cy="4247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802907</xdr:colOff>
      <xdr:row>0</xdr:row>
      <xdr:rowOff>393700</xdr:rowOff>
    </xdr:from>
    <xdr:to>
      <xdr:col>2</xdr:col>
      <xdr:colOff>993407</xdr:colOff>
      <xdr:row>0</xdr:row>
      <xdr:rowOff>806450</xdr:rowOff>
    </xdr:to>
    <xdr:sp macro="" textlink="Formeln!A30">
      <xdr:nvSpPr>
        <xdr:cNvPr id="87" name="Textfeld 86"/>
        <xdr:cNvSpPr txBox="1"/>
      </xdr:nvSpPr>
      <xdr:spPr>
        <a:xfrm rot="16200000">
          <a:off x="7429132" y="504825"/>
          <a:ext cx="4127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3021F5-85CB-4229-9828-A6B6C185ED3E}" type="TxLink">
            <a:rPr lang="en-US" sz="1100" b="0" i="0" u="none" strike="noStrike">
              <a:solidFill>
                <a:schemeClr val="bg1"/>
              </a:solidFill>
              <a:latin typeface="Calibri"/>
              <a:ea typeface="Verdana"/>
              <a:cs typeface="Calibri"/>
            </a:rPr>
            <a:pPr algn="ctr"/>
            <a:t>0</a:t>
          </a:fld>
          <a:endParaRPr lang="de-AT" sz="1100">
            <a:solidFill>
              <a:schemeClr val="bg1"/>
            </a:solidFill>
          </a:endParaRPr>
        </a:p>
      </xdr:txBody>
    </xdr:sp>
    <xdr:clientData/>
  </xdr:twoCellAnchor>
  <xdr:twoCellAnchor>
    <xdr:from>
      <xdr:col>2</xdr:col>
      <xdr:colOff>2616200</xdr:colOff>
      <xdr:row>0</xdr:row>
      <xdr:rowOff>1397000</xdr:rowOff>
    </xdr:from>
    <xdr:to>
      <xdr:col>2</xdr:col>
      <xdr:colOff>2931563</xdr:colOff>
      <xdr:row>0</xdr:row>
      <xdr:rowOff>1673896</xdr:rowOff>
    </xdr:to>
    <xdr:sp macro="" textlink="">
      <xdr:nvSpPr>
        <xdr:cNvPr id="88" name="Textfeld 87"/>
        <xdr:cNvSpPr txBox="1"/>
      </xdr:nvSpPr>
      <xdr:spPr>
        <a:xfrm>
          <a:off x="9353550" y="139700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A</a:t>
          </a:r>
        </a:p>
      </xdr:txBody>
    </xdr:sp>
    <xdr:clientData/>
  </xdr:twoCellAnchor>
  <xdr:twoCellAnchor>
    <xdr:from>
      <xdr:col>2</xdr:col>
      <xdr:colOff>2622550</xdr:colOff>
      <xdr:row>0</xdr:row>
      <xdr:rowOff>971550</xdr:rowOff>
    </xdr:from>
    <xdr:to>
      <xdr:col>2</xdr:col>
      <xdr:colOff>2937913</xdr:colOff>
      <xdr:row>0</xdr:row>
      <xdr:rowOff>1248446</xdr:rowOff>
    </xdr:to>
    <xdr:sp macro="" textlink="">
      <xdr:nvSpPr>
        <xdr:cNvPr id="89" name="Textfeld 88"/>
        <xdr:cNvSpPr txBox="1"/>
      </xdr:nvSpPr>
      <xdr:spPr>
        <a:xfrm>
          <a:off x="9359900" y="97155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B</a:t>
          </a:r>
        </a:p>
      </xdr:txBody>
    </xdr:sp>
    <xdr:clientData/>
  </xdr:twoCellAnchor>
  <xdr:twoCellAnchor>
    <xdr:from>
      <xdr:col>2</xdr:col>
      <xdr:colOff>2616200</xdr:colOff>
      <xdr:row>0</xdr:row>
      <xdr:rowOff>527050</xdr:rowOff>
    </xdr:from>
    <xdr:to>
      <xdr:col>2</xdr:col>
      <xdr:colOff>2931563</xdr:colOff>
      <xdr:row>0</xdr:row>
      <xdr:rowOff>803946</xdr:rowOff>
    </xdr:to>
    <xdr:sp macro="" textlink="">
      <xdr:nvSpPr>
        <xdr:cNvPr id="90" name="Textfeld 89"/>
        <xdr:cNvSpPr txBox="1"/>
      </xdr:nvSpPr>
      <xdr:spPr>
        <a:xfrm>
          <a:off x="9353550" y="52705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C</a:t>
          </a:r>
        </a:p>
      </xdr:txBody>
    </xdr:sp>
    <xdr:clientData/>
  </xdr:twoCellAnchor>
  <xdr:twoCellAnchor>
    <xdr:from>
      <xdr:col>3</xdr:col>
      <xdr:colOff>768846</xdr:colOff>
      <xdr:row>0</xdr:row>
      <xdr:rowOff>1437410</xdr:rowOff>
    </xdr:from>
    <xdr:to>
      <xdr:col>3</xdr:col>
      <xdr:colOff>1327149</xdr:colOff>
      <xdr:row>0</xdr:row>
      <xdr:rowOff>1627910</xdr:rowOff>
    </xdr:to>
    <xdr:sp macro="" textlink="Formeln!A14">
      <xdr:nvSpPr>
        <xdr:cNvPr id="91" name="Textfeld 90"/>
        <xdr:cNvSpPr txBox="1"/>
      </xdr:nvSpPr>
      <xdr:spPr>
        <a:xfrm>
          <a:off x="10820896" y="1437410"/>
          <a:ext cx="55830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7B4F59F-AF61-46F7-A42B-6368130CFF36}" type="TxLink">
            <a:rPr lang="en-US" sz="1100" b="0" i="0" u="none" strike="noStrike">
              <a:solidFill>
                <a:schemeClr val="bg1"/>
              </a:solidFill>
              <a:latin typeface="Calibri"/>
              <a:ea typeface="Verdana"/>
              <a:cs typeface="Calibri"/>
            </a:rPr>
            <a:pPr algn="r"/>
            <a:t>560</a:t>
          </a:fld>
          <a:endParaRPr lang="de-AT" sz="1100">
            <a:solidFill>
              <a:schemeClr val="bg1"/>
            </a:solidFill>
          </a:endParaRPr>
        </a:p>
      </xdr:txBody>
    </xdr:sp>
    <xdr:clientData/>
  </xdr:twoCellAnchor>
  <xdr:twoCellAnchor>
    <xdr:from>
      <xdr:col>3</xdr:col>
      <xdr:colOff>789609</xdr:colOff>
      <xdr:row>0</xdr:row>
      <xdr:rowOff>1097952</xdr:rowOff>
    </xdr:from>
    <xdr:to>
      <xdr:col>3</xdr:col>
      <xdr:colOff>1320800</xdr:colOff>
      <xdr:row>0</xdr:row>
      <xdr:rowOff>1288452</xdr:rowOff>
    </xdr:to>
    <xdr:sp macro="" textlink="Formeln!A22">
      <xdr:nvSpPr>
        <xdr:cNvPr id="92" name="Textfeld 91"/>
        <xdr:cNvSpPr txBox="1"/>
      </xdr:nvSpPr>
      <xdr:spPr>
        <a:xfrm>
          <a:off x="10841659" y="1097952"/>
          <a:ext cx="53119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C31E3356-DFB0-42C8-A569-129D108489F6}" type="TxLink">
            <a:rPr lang="en-US" sz="1100" b="0" i="0" u="none" strike="noStrike">
              <a:solidFill>
                <a:schemeClr val="bg1"/>
              </a:solidFill>
              <a:latin typeface="Calibri"/>
              <a:ea typeface="Verdana"/>
              <a:cs typeface="Calibri"/>
            </a:rPr>
            <a:pPr algn="r"/>
            <a:t>140</a:t>
          </a:fld>
          <a:endParaRPr lang="de-AT" sz="1100">
            <a:solidFill>
              <a:schemeClr val="bg1"/>
            </a:solidFill>
          </a:endParaRPr>
        </a:p>
      </xdr:txBody>
    </xdr:sp>
    <xdr:clientData/>
  </xdr:twoCellAnchor>
  <xdr:twoCellAnchor>
    <xdr:from>
      <xdr:col>3</xdr:col>
      <xdr:colOff>865809</xdr:colOff>
      <xdr:row>0</xdr:row>
      <xdr:rowOff>786802</xdr:rowOff>
    </xdr:from>
    <xdr:to>
      <xdr:col>3</xdr:col>
      <xdr:colOff>1327150</xdr:colOff>
      <xdr:row>0</xdr:row>
      <xdr:rowOff>977302</xdr:rowOff>
    </xdr:to>
    <xdr:sp macro="" textlink="Formeln!A30">
      <xdr:nvSpPr>
        <xdr:cNvPr id="93" name="Textfeld 92"/>
        <xdr:cNvSpPr txBox="1"/>
      </xdr:nvSpPr>
      <xdr:spPr>
        <a:xfrm>
          <a:off x="10917859" y="786802"/>
          <a:ext cx="46134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63021F5-85CB-4229-9828-A6B6C185ED3E}" type="TxLink">
            <a:rPr lang="en-US" sz="1100" b="0" i="0" u="none" strike="noStrike">
              <a:solidFill>
                <a:schemeClr val="bg1"/>
              </a:solidFill>
              <a:latin typeface="Calibri"/>
              <a:ea typeface="Verdana"/>
              <a:cs typeface="Calibri"/>
            </a:rPr>
            <a:pPr algn="r"/>
            <a:t>0</a:t>
          </a:fld>
          <a:endParaRPr lang="de-AT" sz="1100">
            <a:solidFill>
              <a:schemeClr val="bg1"/>
            </a:solidFill>
          </a:endParaRPr>
        </a:p>
      </xdr:txBody>
    </xdr:sp>
    <xdr:clientData/>
  </xdr:twoCellAnchor>
  <xdr:twoCellAnchor>
    <xdr:from>
      <xdr:col>3</xdr:col>
      <xdr:colOff>1305936</xdr:colOff>
      <xdr:row>0</xdr:row>
      <xdr:rowOff>1352550</xdr:rowOff>
    </xdr:from>
    <xdr:to>
      <xdr:col>3</xdr:col>
      <xdr:colOff>1305936</xdr:colOff>
      <xdr:row>0</xdr:row>
      <xdr:rowOff>1688424</xdr:rowOff>
    </xdr:to>
    <xdr:cxnSp macro="">
      <xdr:nvCxnSpPr>
        <xdr:cNvPr id="94" name="Gerade Verbindung mit Pfeil 93"/>
        <xdr:cNvCxnSpPr/>
      </xdr:nvCxnSpPr>
      <xdr:spPr>
        <a:xfrm flipH="1">
          <a:off x="11357986" y="1352550"/>
          <a:ext cx="0" cy="3358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1305936</xdr:colOff>
      <xdr:row>0</xdr:row>
      <xdr:rowOff>1022350</xdr:rowOff>
    </xdr:from>
    <xdr:to>
      <xdr:col>3</xdr:col>
      <xdr:colOff>1305936</xdr:colOff>
      <xdr:row>0</xdr:row>
      <xdr:rowOff>1358224</xdr:rowOff>
    </xdr:to>
    <xdr:cxnSp macro="">
      <xdr:nvCxnSpPr>
        <xdr:cNvPr id="98" name="Gerade Verbindung mit Pfeil 97"/>
        <xdr:cNvCxnSpPr/>
      </xdr:nvCxnSpPr>
      <xdr:spPr>
        <a:xfrm flipH="1">
          <a:off x="11357986" y="1022350"/>
          <a:ext cx="0" cy="3358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1305936</xdr:colOff>
      <xdr:row>0</xdr:row>
      <xdr:rowOff>698500</xdr:rowOff>
    </xdr:from>
    <xdr:to>
      <xdr:col>3</xdr:col>
      <xdr:colOff>1305936</xdr:colOff>
      <xdr:row>0</xdr:row>
      <xdr:rowOff>1034374</xdr:rowOff>
    </xdr:to>
    <xdr:cxnSp macro="">
      <xdr:nvCxnSpPr>
        <xdr:cNvPr id="99" name="Gerade Verbindung mit Pfeil 98"/>
        <xdr:cNvCxnSpPr/>
      </xdr:nvCxnSpPr>
      <xdr:spPr>
        <a:xfrm flipH="1">
          <a:off x="11357986" y="698500"/>
          <a:ext cx="0" cy="3358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1305936</xdr:colOff>
      <xdr:row>0</xdr:row>
      <xdr:rowOff>374650</xdr:rowOff>
    </xdr:from>
    <xdr:to>
      <xdr:col>3</xdr:col>
      <xdr:colOff>1305936</xdr:colOff>
      <xdr:row>0</xdr:row>
      <xdr:rowOff>710524</xdr:rowOff>
    </xdr:to>
    <xdr:cxnSp macro="">
      <xdr:nvCxnSpPr>
        <xdr:cNvPr id="100" name="Gerade Verbindung mit Pfeil 99"/>
        <xdr:cNvCxnSpPr/>
      </xdr:nvCxnSpPr>
      <xdr:spPr>
        <a:xfrm flipH="1">
          <a:off x="11357986" y="374650"/>
          <a:ext cx="0" cy="335874"/>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840409</xdr:colOff>
      <xdr:row>0</xdr:row>
      <xdr:rowOff>456602</xdr:rowOff>
    </xdr:from>
    <xdr:to>
      <xdr:col>3</xdr:col>
      <xdr:colOff>1301750</xdr:colOff>
      <xdr:row>0</xdr:row>
      <xdr:rowOff>647102</xdr:rowOff>
    </xdr:to>
    <xdr:sp macro="" textlink="Formeln!A38">
      <xdr:nvSpPr>
        <xdr:cNvPr id="101" name="Textfeld 100"/>
        <xdr:cNvSpPr txBox="1"/>
      </xdr:nvSpPr>
      <xdr:spPr>
        <a:xfrm>
          <a:off x="10892459" y="456602"/>
          <a:ext cx="46134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CDFF4918-6A09-4E07-A2B7-273C6F38FBE5}" type="TxLink">
            <a:rPr lang="en-US" sz="1100" b="0" i="0" u="none" strike="noStrike">
              <a:solidFill>
                <a:schemeClr val="bg1"/>
              </a:solidFill>
              <a:latin typeface="Calibri"/>
              <a:ea typeface="Verdana"/>
              <a:cs typeface="Calibri"/>
            </a:rPr>
            <a:pPr algn="r"/>
            <a:t>0</a:t>
          </a:fld>
          <a:endParaRPr lang="de-AT" sz="1100">
            <a:solidFill>
              <a:schemeClr val="bg1"/>
            </a:solidFill>
          </a:endParaRPr>
        </a:p>
      </xdr:txBody>
    </xdr:sp>
    <xdr:clientData/>
  </xdr:twoCellAnchor>
  <xdr:twoCellAnchor>
    <xdr:from>
      <xdr:col>3</xdr:col>
      <xdr:colOff>2616200</xdr:colOff>
      <xdr:row>0</xdr:row>
      <xdr:rowOff>1409700</xdr:rowOff>
    </xdr:from>
    <xdr:to>
      <xdr:col>3</xdr:col>
      <xdr:colOff>2931563</xdr:colOff>
      <xdr:row>0</xdr:row>
      <xdr:rowOff>1686596</xdr:rowOff>
    </xdr:to>
    <xdr:sp macro="" textlink="">
      <xdr:nvSpPr>
        <xdr:cNvPr id="102" name="Textfeld 101"/>
        <xdr:cNvSpPr txBox="1"/>
      </xdr:nvSpPr>
      <xdr:spPr>
        <a:xfrm>
          <a:off x="12668250" y="140970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A</a:t>
          </a:r>
        </a:p>
      </xdr:txBody>
    </xdr:sp>
    <xdr:clientData/>
  </xdr:twoCellAnchor>
  <xdr:twoCellAnchor>
    <xdr:from>
      <xdr:col>3</xdr:col>
      <xdr:colOff>2609850</xdr:colOff>
      <xdr:row>0</xdr:row>
      <xdr:rowOff>1073150</xdr:rowOff>
    </xdr:from>
    <xdr:to>
      <xdr:col>3</xdr:col>
      <xdr:colOff>2925213</xdr:colOff>
      <xdr:row>0</xdr:row>
      <xdr:rowOff>1350046</xdr:rowOff>
    </xdr:to>
    <xdr:sp macro="" textlink="">
      <xdr:nvSpPr>
        <xdr:cNvPr id="103" name="Textfeld 102"/>
        <xdr:cNvSpPr txBox="1"/>
      </xdr:nvSpPr>
      <xdr:spPr>
        <a:xfrm>
          <a:off x="12661900" y="107315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B</a:t>
          </a:r>
        </a:p>
      </xdr:txBody>
    </xdr:sp>
    <xdr:clientData/>
  </xdr:twoCellAnchor>
  <xdr:twoCellAnchor>
    <xdr:from>
      <xdr:col>3</xdr:col>
      <xdr:colOff>2616200</xdr:colOff>
      <xdr:row>0</xdr:row>
      <xdr:rowOff>755650</xdr:rowOff>
    </xdr:from>
    <xdr:to>
      <xdr:col>3</xdr:col>
      <xdr:colOff>2931563</xdr:colOff>
      <xdr:row>0</xdr:row>
      <xdr:rowOff>1032546</xdr:rowOff>
    </xdr:to>
    <xdr:sp macro="" textlink="">
      <xdr:nvSpPr>
        <xdr:cNvPr id="104" name="Textfeld 103"/>
        <xdr:cNvSpPr txBox="1"/>
      </xdr:nvSpPr>
      <xdr:spPr>
        <a:xfrm>
          <a:off x="12668250" y="75565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C</a:t>
          </a:r>
        </a:p>
      </xdr:txBody>
    </xdr:sp>
    <xdr:clientData/>
  </xdr:twoCellAnchor>
  <xdr:twoCellAnchor>
    <xdr:from>
      <xdr:col>3</xdr:col>
      <xdr:colOff>2622550</xdr:colOff>
      <xdr:row>0</xdr:row>
      <xdr:rowOff>431800</xdr:rowOff>
    </xdr:from>
    <xdr:to>
      <xdr:col>3</xdr:col>
      <xdr:colOff>2937913</xdr:colOff>
      <xdr:row>0</xdr:row>
      <xdr:rowOff>708696</xdr:rowOff>
    </xdr:to>
    <xdr:sp macro="" textlink="">
      <xdr:nvSpPr>
        <xdr:cNvPr id="105" name="Textfeld 104"/>
        <xdr:cNvSpPr txBox="1"/>
      </xdr:nvSpPr>
      <xdr:spPr>
        <a:xfrm>
          <a:off x="12674600" y="431800"/>
          <a:ext cx="315363" cy="27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a:solidFill>
                <a:schemeClr val="bg1"/>
              </a:solidFill>
              <a:latin typeface="+mn-lt"/>
              <a:ea typeface="Verdana" panose="020B0604030504040204" pitchFamily="34" charset="0"/>
              <a:cs typeface="Verdana" panose="020B0604030504040204" pitchFamily="34" charset="0"/>
            </a:rPr>
            <a:t>D</a:t>
          </a:r>
        </a:p>
      </xdr:txBody>
    </xdr:sp>
    <xdr:clientData/>
  </xdr:twoCellAnchor>
  <xdr:twoCellAnchor>
    <xdr:from>
      <xdr:col>1</xdr:col>
      <xdr:colOff>3028953</xdr:colOff>
      <xdr:row>5</xdr:row>
      <xdr:rowOff>1289049</xdr:rowOff>
    </xdr:from>
    <xdr:to>
      <xdr:col>1</xdr:col>
      <xdr:colOff>3219453</xdr:colOff>
      <xdr:row>5</xdr:row>
      <xdr:rowOff>2132446</xdr:rowOff>
    </xdr:to>
    <xdr:sp macro="" textlink="Formeln!A14">
      <xdr:nvSpPr>
        <xdr:cNvPr id="84" name="Textfeld 83"/>
        <xdr:cNvSpPr txBox="1"/>
      </xdr:nvSpPr>
      <xdr:spPr>
        <a:xfrm rot="16200000">
          <a:off x="6125154" y="7451148"/>
          <a:ext cx="843397"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7B4F59F-AF61-46F7-A42B-6368130CFF36}" type="TxLink">
            <a:rPr lang="en-US" sz="1100" b="0" i="0" u="none" strike="noStrike">
              <a:solidFill>
                <a:schemeClr val="bg1"/>
              </a:solidFill>
              <a:latin typeface="Calibri"/>
              <a:ea typeface="Verdana"/>
              <a:cs typeface="Calibri"/>
            </a:rPr>
            <a:pPr algn="ctr"/>
            <a:t>560</a:t>
          </a:fld>
          <a:endParaRPr lang="de-AT" sz="1100">
            <a:solidFill>
              <a:schemeClr val="bg1"/>
            </a:solidFill>
          </a:endParaRPr>
        </a:p>
      </xdr:txBody>
    </xdr:sp>
    <xdr:clientData/>
  </xdr:twoCellAnchor>
  <xdr:twoCellAnchor>
    <xdr:from>
      <xdr:col>1</xdr:col>
      <xdr:colOff>3022600</xdr:colOff>
      <xdr:row>5</xdr:row>
      <xdr:rowOff>387350</xdr:rowOff>
    </xdr:from>
    <xdr:to>
      <xdr:col>1</xdr:col>
      <xdr:colOff>3213100</xdr:colOff>
      <xdr:row>5</xdr:row>
      <xdr:rowOff>1280970</xdr:rowOff>
    </xdr:to>
    <xdr:sp macro="" textlink="Formeln!A22">
      <xdr:nvSpPr>
        <xdr:cNvPr id="95" name="Textfeld 94"/>
        <xdr:cNvSpPr txBox="1"/>
      </xdr:nvSpPr>
      <xdr:spPr>
        <a:xfrm rot="16200000">
          <a:off x="6093690" y="6574560"/>
          <a:ext cx="89362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1E3356-DFB0-42C8-A569-129D108489F6}" type="TxLink">
            <a:rPr lang="en-US" sz="1100" b="0" i="0" u="none" strike="noStrike">
              <a:solidFill>
                <a:schemeClr val="bg1"/>
              </a:solidFill>
              <a:latin typeface="Calibri"/>
              <a:ea typeface="Verdana"/>
              <a:cs typeface="Calibri"/>
            </a:rPr>
            <a:pPr algn="ctr"/>
            <a:t>140</a:t>
          </a:fld>
          <a:endParaRPr lang="de-AT" sz="1100">
            <a:solidFill>
              <a:schemeClr val="bg1"/>
            </a:solidFill>
          </a:endParaRPr>
        </a:p>
      </xdr:txBody>
    </xdr:sp>
    <xdr:clientData/>
  </xdr:twoCellAnchor>
  <xdr:twoCellAnchor>
    <xdr:from>
      <xdr:col>2</xdr:col>
      <xdr:colOff>3051179</xdr:colOff>
      <xdr:row>15</xdr:row>
      <xdr:rowOff>57149</xdr:rowOff>
    </xdr:from>
    <xdr:to>
      <xdr:col>2</xdr:col>
      <xdr:colOff>3241679</xdr:colOff>
      <xdr:row>18</xdr:row>
      <xdr:rowOff>24247</xdr:rowOff>
    </xdr:to>
    <xdr:sp macro="" textlink="Formeln!A14">
      <xdr:nvSpPr>
        <xdr:cNvPr id="96" name="Textfeld 95"/>
        <xdr:cNvSpPr txBox="1"/>
      </xdr:nvSpPr>
      <xdr:spPr>
        <a:xfrm rot="16200000">
          <a:off x="9716080" y="12346998"/>
          <a:ext cx="5385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7B4F59F-AF61-46F7-A42B-6368130CFF36}" type="TxLink">
            <a:rPr lang="en-US" sz="1100" b="0" i="0" u="none" strike="noStrike">
              <a:solidFill>
                <a:schemeClr val="bg1"/>
              </a:solidFill>
              <a:latin typeface="Calibri"/>
              <a:ea typeface="Verdana"/>
              <a:cs typeface="Calibri"/>
            </a:rPr>
            <a:pPr algn="ctr"/>
            <a:t>560</a:t>
          </a:fld>
          <a:endParaRPr lang="de-AT" sz="1100">
            <a:solidFill>
              <a:schemeClr val="bg1"/>
            </a:solidFill>
          </a:endParaRPr>
        </a:p>
      </xdr:txBody>
    </xdr:sp>
    <xdr:clientData/>
  </xdr:twoCellAnchor>
  <xdr:twoCellAnchor>
    <xdr:from>
      <xdr:col>2</xdr:col>
      <xdr:colOff>3051175</xdr:colOff>
      <xdr:row>12</xdr:row>
      <xdr:rowOff>31750</xdr:rowOff>
    </xdr:from>
    <xdr:to>
      <xdr:col>2</xdr:col>
      <xdr:colOff>3241675</xdr:colOff>
      <xdr:row>15</xdr:row>
      <xdr:rowOff>49070</xdr:rowOff>
    </xdr:to>
    <xdr:sp macro="" textlink="Formeln!A22">
      <xdr:nvSpPr>
        <xdr:cNvPr id="97" name="Textfeld 96"/>
        <xdr:cNvSpPr txBox="1"/>
      </xdr:nvSpPr>
      <xdr:spPr>
        <a:xfrm rot="16200000">
          <a:off x="9690965" y="11775210"/>
          <a:ext cx="58882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1E3356-DFB0-42C8-A569-129D108489F6}" type="TxLink">
            <a:rPr lang="en-US" sz="1100" b="0" i="0" u="none" strike="noStrike">
              <a:solidFill>
                <a:schemeClr val="bg1"/>
              </a:solidFill>
              <a:latin typeface="Calibri"/>
              <a:ea typeface="Verdana"/>
              <a:cs typeface="Calibri"/>
            </a:rPr>
            <a:pPr algn="ctr"/>
            <a:t>140</a:t>
          </a:fld>
          <a:endParaRPr lang="de-AT" sz="1100">
            <a:solidFill>
              <a:schemeClr val="bg1"/>
            </a:solidFill>
          </a:endParaRPr>
        </a:p>
      </xdr:txBody>
    </xdr:sp>
    <xdr:clientData/>
  </xdr:twoCellAnchor>
  <xdr:twoCellAnchor>
    <xdr:from>
      <xdr:col>2</xdr:col>
      <xdr:colOff>3051175</xdr:colOff>
      <xdr:row>8</xdr:row>
      <xdr:rowOff>171450</xdr:rowOff>
    </xdr:from>
    <xdr:to>
      <xdr:col>2</xdr:col>
      <xdr:colOff>3241675</xdr:colOff>
      <xdr:row>12</xdr:row>
      <xdr:rowOff>31750</xdr:rowOff>
    </xdr:to>
    <xdr:sp macro="" textlink="Formeln!A30">
      <xdr:nvSpPr>
        <xdr:cNvPr id="106" name="Textfeld 105"/>
        <xdr:cNvSpPr txBox="1"/>
      </xdr:nvSpPr>
      <xdr:spPr>
        <a:xfrm rot="16200000">
          <a:off x="9674225" y="11169650"/>
          <a:ext cx="6223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3021F5-85CB-4229-9828-A6B6C185ED3E}" type="TxLink">
            <a:rPr lang="en-US" sz="1100" b="0" i="0" u="none" strike="noStrike">
              <a:solidFill>
                <a:schemeClr val="bg1"/>
              </a:solidFill>
              <a:latin typeface="Calibri"/>
              <a:ea typeface="Verdana"/>
              <a:cs typeface="Calibri"/>
            </a:rPr>
            <a:pPr algn="ctr"/>
            <a:t>0</a:t>
          </a:fld>
          <a:endParaRPr lang="de-AT" sz="1100">
            <a:solidFill>
              <a:schemeClr val="bg1"/>
            </a:solidFill>
          </a:endParaRPr>
        </a:p>
      </xdr:txBody>
    </xdr:sp>
    <xdr:clientData/>
  </xdr:twoCellAnchor>
  <xdr:twoCellAnchor>
    <xdr:from>
      <xdr:col>3</xdr:col>
      <xdr:colOff>2987679</xdr:colOff>
      <xdr:row>15</xdr:row>
      <xdr:rowOff>161924</xdr:rowOff>
    </xdr:from>
    <xdr:to>
      <xdr:col>3</xdr:col>
      <xdr:colOff>3178179</xdr:colOff>
      <xdr:row>18</xdr:row>
      <xdr:rowOff>53975</xdr:rowOff>
    </xdr:to>
    <xdr:sp macro="" textlink="Formeln!A14">
      <xdr:nvSpPr>
        <xdr:cNvPr id="107" name="Textfeld 106"/>
        <xdr:cNvSpPr txBox="1"/>
      </xdr:nvSpPr>
      <xdr:spPr>
        <a:xfrm rot="16200000">
          <a:off x="13109578" y="12414250"/>
          <a:ext cx="46355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7B4F59F-AF61-46F7-A42B-6368130CFF36}" type="TxLink">
            <a:rPr lang="en-US" sz="1100" b="0" i="0" u="none" strike="noStrike">
              <a:solidFill>
                <a:schemeClr val="bg1"/>
              </a:solidFill>
              <a:latin typeface="Calibri"/>
              <a:ea typeface="Verdana"/>
              <a:cs typeface="Calibri"/>
            </a:rPr>
            <a:pPr algn="ctr"/>
            <a:t>560</a:t>
          </a:fld>
          <a:endParaRPr lang="de-AT" sz="1100">
            <a:solidFill>
              <a:schemeClr val="bg1"/>
            </a:solidFill>
          </a:endParaRPr>
        </a:p>
      </xdr:txBody>
    </xdr:sp>
    <xdr:clientData/>
  </xdr:twoCellAnchor>
  <xdr:twoCellAnchor>
    <xdr:from>
      <xdr:col>3</xdr:col>
      <xdr:colOff>2994026</xdr:colOff>
      <xdr:row>13</xdr:row>
      <xdr:rowOff>111124</xdr:rowOff>
    </xdr:from>
    <xdr:to>
      <xdr:col>3</xdr:col>
      <xdr:colOff>3184526</xdr:colOff>
      <xdr:row>15</xdr:row>
      <xdr:rowOff>161456</xdr:rowOff>
    </xdr:to>
    <xdr:sp macro="" textlink="Formeln!A22">
      <xdr:nvSpPr>
        <xdr:cNvPr id="108" name="Textfeld 107"/>
        <xdr:cNvSpPr txBox="1"/>
      </xdr:nvSpPr>
      <xdr:spPr>
        <a:xfrm rot="16200000">
          <a:off x="13132035" y="11966340"/>
          <a:ext cx="43133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1E3356-DFB0-42C8-A569-129D108489F6}" type="TxLink">
            <a:rPr lang="en-US" sz="1100" b="0" i="0" u="none" strike="noStrike">
              <a:solidFill>
                <a:schemeClr val="bg1"/>
              </a:solidFill>
              <a:latin typeface="Calibri"/>
              <a:ea typeface="Verdana"/>
              <a:cs typeface="Calibri"/>
            </a:rPr>
            <a:pPr algn="ctr"/>
            <a:t>140</a:t>
          </a:fld>
          <a:endParaRPr lang="de-AT" sz="1100">
            <a:solidFill>
              <a:schemeClr val="bg1"/>
            </a:solidFill>
          </a:endParaRPr>
        </a:p>
      </xdr:txBody>
    </xdr:sp>
    <xdr:clientData/>
  </xdr:twoCellAnchor>
  <xdr:twoCellAnchor>
    <xdr:from>
      <xdr:col>3</xdr:col>
      <xdr:colOff>2994025</xdr:colOff>
      <xdr:row>11</xdr:row>
      <xdr:rowOff>53975</xdr:rowOff>
    </xdr:from>
    <xdr:to>
      <xdr:col>3</xdr:col>
      <xdr:colOff>3184525</xdr:colOff>
      <xdr:row>13</xdr:row>
      <xdr:rowOff>106107</xdr:rowOff>
    </xdr:to>
    <xdr:sp macro="" textlink="Formeln!A30">
      <xdr:nvSpPr>
        <xdr:cNvPr id="109" name="Textfeld 108"/>
        <xdr:cNvSpPr txBox="1"/>
      </xdr:nvSpPr>
      <xdr:spPr>
        <a:xfrm rot="16200000">
          <a:off x="13131134" y="11529091"/>
          <a:ext cx="43313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3021F5-85CB-4229-9828-A6B6C185ED3E}" type="TxLink">
            <a:rPr lang="en-US" sz="1100" b="0" i="0" u="none" strike="noStrike">
              <a:solidFill>
                <a:schemeClr val="bg1"/>
              </a:solidFill>
              <a:latin typeface="Calibri"/>
              <a:ea typeface="Verdana"/>
              <a:cs typeface="Calibri"/>
            </a:rPr>
            <a:pPr algn="ctr"/>
            <a:t>0</a:t>
          </a:fld>
          <a:endParaRPr lang="de-AT" sz="1100">
            <a:solidFill>
              <a:schemeClr val="bg1"/>
            </a:solidFill>
          </a:endParaRPr>
        </a:p>
      </xdr:txBody>
    </xdr:sp>
    <xdr:clientData/>
  </xdr:twoCellAnchor>
  <xdr:twoCellAnchor>
    <xdr:from>
      <xdr:col>3</xdr:col>
      <xdr:colOff>2996097</xdr:colOff>
      <xdr:row>8</xdr:row>
      <xdr:rowOff>187324</xdr:rowOff>
    </xdr:from>
    <xdr:to>
      <xdr:col>3</xdr:col>
      <xdr:colOff>3186597</xdr:colOff>
      <xdr:row>11</xdr:row>
      <xdr:rowOff>56045</xdr:rowOff>
    </xdr:to>
    <xdr:sp macro="" textlink="Formeln!A38">
      <xdr:nvSpPr>
        <xdr:cNvPr id="110" name="Textfeld 109"/>
        <xdr:cNvSpPr txBox="1"/>
      </xdr:nvSpPr>
      <xdr:spPr>
        <a:xfrm rot="16200000">
          <a:off x="13129661" y="11094485"/>
          <a:ext cx="44022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FF4918-6A09-4E07-A2B7-273C6F38FBE5}" type="TxLink">
            <a:rPr lang="en-US" sz="1100" b="0" i="0" u="none" strike="noStrike">
              <a:solidFill>
                <a:schemeClr val="bg1"/>
              </a:solidFill>
              <a:latin typeface="Calibri"/>
              <a:ea typeface="Verdana"/>
              <a:cs typeface="Calibri"/>
            </a:rPr>
            <a:pPr algn="ctr"/>
            <a:t>0</a:t>
          </a:fld>
          <a:endParaRPr lang="de-AT" sz="1100">
            <a:solidFill>
              <a:schemeClr val="bg1"/>
            </a:solidFill>
          </a:endParaRPr>
        </a:p>
      </xdr:txBody>
    </xdr:sp>
    <xdr:clientData/>
  </xdr:twoCellAnchor>
  <xdr:twoCellAnchor>
    <xdr:from>
      <xdr:col>0</xdr:col>
      <xdr:colOff>2969204</xdr:colOff>
      <xdr:row>5</xdr:row>
      <xdr:rowOff>4149702</xdr:rowOff>
    </xdr:from>
    <xdr:to>
      <xdr:col>0</xdr:col>
      <xdr:colOff>3414093</xdr:colOff>
      <xdr:row>5</xdr:row>
      <xdr:rowOff>4374458</xdr:rowOff>
    </xdr:to>
    <xdr:sp macro="" textlink="VIONARO!I6">
      <xdr:nvSpPr>
        <xdr:cNvPr id="111" name="Textfeld 110"/>
        <xdr:cNvSpPr txBox="1"/>
      </xdr:nvSpPr>
      <xdr:spPr>
        <a:xfrm>
          <a:off x="2969204" y="9979002"/>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CFF76D6-3C38-4F21-8319-EBB7D05E7B0C}" type="TxLink">
            <a:rPr lang="en-US" sz="800" b="0" i="0" u="none" strike="noStrike">
              <a:solidFill>
                <a:srgbClr val="000000"/>
              </a:solidFill>
              <a:latin typeface="Calibri"/>
              <a:ea typeface="Verdana"/>
              <a:cs typeface="Calibri"/>
            </a:rPr>
            <a:pPr algn="l"/>
            <a:t>18</a:t>
          </a:fld>
          <a:endParaRPr lang="de-AT" sz="1100">
            <a:solidFill>
              <a:sysClr val="windowText" lastClr="000000"/>
            </a:solidFill>
          </a:endParaRPr>
        </a:p>
      </xdr:txBody>
    </xdr:sp>
    <xdr:clientData/>
  </xdr:twoCellAnchor>
  <xdr:twoCellAnchor>
    <xdr:from>
      <xdr:col>0</xdr:col>
      <xdr:colOff>2899216</xdr:colOff>
      <xdr:row>5</xdr:row>
      <xdr:rowOff>3893770</xdr:rowOff>
    </xdr:from>
    <xdr:to>
      <xdr:col>0</xdr:col>
      <xdr:colOff>3344105</xdr:colOff>
      <xdr:row>5</xdr:row>
      <xdr:rowOff>4118526</xdr:rowOff>
    </xdr:to>
    <xdr:sp macro="" textlink="VIONARO!I31">
      <xdr:nvSpPr>
        <xdr:cNvPr id="112" name="Textfeld 111"/>
        <xdr:cNvSpPr txBox="1"/>
      </xdr:nvSpPr>
      <xdr:spPr>
        <a:xfrm>
          <a:off x="2899216" y="9723070"/>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7E9E207-65B6-49FA-B101-264933117619}" type="TxLink">
            <a:rPr lang="en-US" sz="900" b="0" i="0" u="none" strike="noStrike">
              <a:solidFill>
                <a:srgbClr val="000000"/>
              </a:solidFill>
              <a:latin typeface="Calibri"/>
              <a:ea typeface="Verdana"/>
              <a:cs typeface="Calibri"/>
            </a:rPr>
            <a:pPr algn="l"/>
            <a:t>37</a:t>
          </a:fld>
          <a:endParaRPr lang="de-AT" sz="1100">
            <a:solidFill>
              <a:sysClr val="windowText" lastClr="000000"/>
            </a:solidFill>
          </a:endParaRPr>
        </a:p>
      </xdr:txBody>
    </xdr:sp>
    <xdr:clientData/>
  </xdr:twoCellAnchor>
  <xdr:twoCellAnchor>
    <xdr:from>
      <xdr:col>0</xdr:col>
      <xdr:colOff>2905013</xdr:colOff>
      <xdr:row>5</xdr:row>
      <xdr:rowOff>3527678</xdr:rowOff>
    </xdr:from>
    <xdr:to>
      <xdr:col>0</xdr:col>
      <xdr:colOff>3349902</xdr:colOff>
      <xdr:row>5</xdr:row>
      <xdr:rowOff>3752434</xdr:rowOff>
    </xdr:to>
    <xdr:sp macro="" textlink="VIONARO!J31">
      <xdr:nvSpPr>
        <xdr:cNvPr id="113" name="Textfeld 112"/>
        <xdr:cNvSpPr txBox="1"/>
      </xdr:nvSpPr>
      <xdr:spPr>
        <a:xfrm>
          <a:off x="2905013" y="93569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7620465-EB75-4432-B83C-C6E16173EB9B}" type="TxLink">
            <a:rPr lang="en-US" sz="900" b="0" i="0" u="none" strike="noStrike">
              <a:solidFill>
                <a:srgbClr val="000000"/>
              </a:solidFill>
              <a:latin typeface="Calibri"/>
              <a:ea typeface="Verdana"/>
              <a:cs typeface="Calibri"/>
            </a:rPr>
            <a:pPr algn="l"/>
            <a:t>250</a:t>
          </a:fld>
          <a:endParaRPr lang="de-AT" sz="1100">
            <a:solidFill>
              <a:sysClr val="windowText" lastClr="000000"/>
            </a:solidFill>
          </a:endParaRPr>
        </a:p>
      </xdr:txBody>
    </xdr:sp>
    <xdr:clientData/>
  </xdr:twoCellAnchor>
  <xdr:twoCellAnchor>
    <xdr:from>
      <xdr:col>0</xdr:col>
      <xdr:colOff>254697</xdr:colOff>
      <xdr:row>5</xdr:row>
      <xdr:rowOff>2230093</xdr:rowOff>
    </xdr:from>
    <xdr:to>
      <xdr:col>0</xdr:col>
      <xdr:colOff>479453</xdr:colOff>
      <xdr:row>5</xdr:row>
      <xdr:rowOff>2676224</xdr:rowOff>
    </xdr:to>
    <xdr:sp macro="" textlink="VIONARO!K19">
      <xdr:nvSpPr>
        <xdr:cNvPr id="115" name="Textfeld 114"/>
        <xdr:cNvSpPr txBox="1"/>
      </xdr:nvSpPr>
      <xdr:spPr>
        <a:xfrm rot="16200000">
          <a:off x="144009" y="8170081"/>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4BB17A0-D97B-4A18-BA4D-3678C344626E}" type="TxLink">
            <a:rPr lang="en-US" sz="800" b="0" i="0" u="none" strike="noStrike">
              <a:solidFill>
                <a:sysClr val="windowText" lastClr="000000"/>
              </a:solidFill>
              <a:latin typeface="Calibri"/>
              <a:ea typeface="Verdana"/>
              <a:cs typeface="Calibri"/>
            </a:rPr>
            <a:pPr algn="ctr"/>
            <a:t>705</a:t>
          </a:fld>
          <a:endParaRPr lang="de-AT" sz="1100" b="0">
            <a:solidFill>
              <a:sysClr val="windowText" lastClr="000000"/>
            </a:solidFill>
          </a:endParaRPr>
        </a:p>
      </xdr:txBody>
    </xdr:sp>
    <xdr:clientData/>
  </xdr:twoCellAnchor>
  <xdr:twoCellAnchor>
    <xdr:from>
      <xdr:col>0</xdr:col>
      <xdr:colOff>1423669</xdr:colOff>
      <xdr:row>5</xdr:row>
      <xdr:rowOff>321894</xdr:rowOff>
    </xdr:from>
    <xdr:to>
      <xdr:col>0</xdr:col>
      <xdr:colOff>1869800</xdr:colOff>
      <xdr:row>5</xdr:row>
      <xdr:rowOff>546650</xdr:rowOff>
    </xdr:to>
    <xdr:sp macro="" textlink="VIONARO!I8">
      <xdr:nvSpPr>
        <xdr:cNvPr id="116" name="Textfeld 115"/>
        <xdr:cNvSpPr txBox="1"/>
      </xdr:nvSpPr>
      <xdr:spPr>
        <a:xfrm>
          <a:off x="1423669" y="6151194"/>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B4C24CF-A547-4F89-9FBA-E4C16C8A3187}" type="TxLink">
            <a:rPr lang="en-US" sz="800" b="0" i="0" u="none" strike="noStrike">
              <a:solidFill>
                <a:srgbClr val="000000"/>
              </a:solidFill>
              <a:latin typeface="Calibri"/>
              <a:ea typeface="Verdana"/>
              <a:cs typeface="Calibri"/>
            </a:rPr>
            <a:pPr algn="ctr"/>
            <a:t>508</a:t>
          </a:fld>
          <a:endParaRPr lang="de-AT" sz="1100">
            <a:solidFill>
              <a:sysClr val="windowText" lastClr="000000"/>
            </a:solidFill>
          </a:endParaRPr>
        </a:p>
      </xdr:txBody>
    </xdr:sp>
    <xdr:clientData/>
  </xdr:twoCellAnchor>
  <xdr:twoCellAnchor>
    <xdr:from>
      <xdr:col>0</xdr:col>
      <xdr:colOff>2419238</xdr:colOff>
      <xdr:row>5</xdr:row>
      <xdr:rowOff>3708653</xdr:rowOff>
    </xdr:from>
    <xdr:to>
      <xdr:col>0</xdr:col>
      <xdr:colOff>2864127</xdr:colOff>
      <xdr:row>5</xdr:row>
      <xdr:rowOff>3933409</xdr:rowOff>
    </xdr:to>
    <xdr:sp macro="" textlink="Formeln!AX18">
      <xdr:nvSpPr>
        <xdr:cNvPr id="169" name="Textfeld 168"/>
        <xdr:cNvSpPr txBox="1"/>
      </xdr:nvSpPr>
      <xdr:spPr>
        <a:xfrm>
          <a:off x="241923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FB73D35-103B-4FE9-A303-51F1CD7F538B}"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0</xdr:col>
      <xdr:colOff>2095388</xdr:colOff>
      <xdr:row>5</xdr:row>
      <xdr:rowOff>3708653</xdr:rowOff>
    </xdr:from>
    <xdr:to>
      <xdr:col>0</xdr:col>
      <xdr:colOff>2540277</xdr:colOff>
      <xdr:row>5</xdr:row>
      <xdr:rowOff>3933409</xdr:rowOff>
    </xdr:to>
    <xdr:sp macro="" textlink="Formeln!AY18">
      <xdr:nvSpPr>
        <xdr:cNvPr id="170" name="Textfeld 169"/>
        <xdr:cNvSpPr txBox="1"/>
      </xdr:nvSpPr>
      <xdr:spPr>
        <a:xfrm>
          <a:off x="209538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8A05BBF-D87F-450E-9DCB-9ACE7DC182E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0</xdr:col>
      <xdr:colOff>1257188</xdr:colOff>
      <xdr:row>5</xdr:row>
      <xdr:rowOff>3708653</xdr:rowOff>
    </xdr:from>
    <xdr:to>
      <xdr:col>0</xdr:col>
      <xdr:colOff>1702077</xdr:colOff>
      <xdr:row>5</xdr:row>
      <xdr:rowOff>3933409</xdr:rowOff>
    </xdr:to>
    <xdr:sp macro="" textlink="Formeln!AZ18">
      <xdr:nvSpPr>
        <xdr:cNvPr id="171" name="Textfeld 170"/>
        <xdr:cNvSpPr txBox="1"/>
      </xdr:nvSpPr>
      <xdr:spPr>
        <a:xfrm>
          <a:off x="125718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6232700-93DA-46AC-AF64-C44D0B228D0D}"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0</xdr:col>
      <xdr:colOff>1019063</xdr:colOff>
      <xdr:row>5</xdr:row>
      <xdr:rowOff>3708653</xdr:rowOff>
    </xdr:from>
    <xdr:to>
      <xdr:col>0</xdr:col>
      <xdr:colOff>1463952</xdr:colOff>
      <xdr:row>5</xdr:row>
      <xdr:rowOff>3933409</xdr:rowOff>
    </xdr:to>
    <xdr:sp macro="" textlink="Formeln!BA18">
      <xdr:nvSpPr>
        <xdr:cNvPr id="172" name="Textfeld 171"/>
        <xdr:cNvSpPr txBox="1"/>
      </xdr:nvSpPr>
      <xdr:spPr>
        <a:xfrm>
          <a:off x="1019063"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2B1E5D8-E3B7-4F4C-82EC-8C6BBF97D3F3}"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0</xdr:col>
      <xdr:colOff>723788</xdr:colOff>
      <xdr:row>5</xdr:row>
      <xdr:rowOff>3708653</xdr:rowOff>
    </xdr:from>
    <xdr:to>
      <xdr:col>0</xdr:col>
      <xdr:colOff>1168677</xdr:colOff>
      <xdr:row>5</xdr:row>
      <xdr:rowOff>3933409</xdr:rowOff>
    </xdr:to>
    <xdr:sp macro="" textlink="Formeln!BB18">
      <xdr:nvSpPr>
        <xdr:cNvPr id="173" name="Textfeld 172"/>
        <xdr:cNvSpPr txBox="1"/>
      </xdr:nvSpPr>
      <xdr:spPr>
        <a:xfrm>
          <a:off x="72378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A973AF-14A6-4655-9DE1-F08CC9C5465D}"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0</xdr:col>
      <xdr:colOff>2428763</xdr:colOff>
      <xdr:row>5</xdr:row>
      <xdr:rowOff>3318128</xdr:rowOff>
    </xdr:from>
    <xdr:to>
      <xdr:col>0</xdr:col>
      <xdr:colOff>2873652</xdr:colOff>
      <xdr:row>5</xdr:row>
      <xdr:rowOff>3542884</xdr:rowOff>
    </xdr:to>
    <xdr:sp macro="" textlink="Formeln!AX19">
      <xdr:nvSpPr>
        <xdr:cNvPr id="174" name="Textfeld 173"/>
        <xdr:cNvSpPr txBox="1"/>
      </xdr:nvSpPr>
      <xdr:spPr>
        <a:xfrm>
          <a:off x="242876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D10AE02-B837-4105-A788-5442C22B7DA0}"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0</xdr:col>
      <xdr:colOff>2066813</xdr:colOff>
      <xdr:row>5</xdr:row>
      <xdr:rowOff>3318128</xdr:rowOff>
    </xdr:from>
    <xdr:to>
      <xdr:col>0</xdr:col>
      <xdr:colOff>2511702</xdr:colOff>
      <xdr:row>5</xdr:row>
      <xdr:rowOff>3542884</xdr:rowOff>
    </xdr:to>
    <xdr:sp macro="" textlink="Formeln!AY19">
      <xdr:nvSpPr>
        <xdr:cNvPr id="175" name="Textfeld 174"/>
        <xdr:cNvSpPr txBox="1"/>
      </xdr:nvSpPr>
      <xdr:spPr>
        <a:xfrm>
          <a:off x="206681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FBF0D92-39AE-459C-A0B7-2E21727AA784}"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0</xdr:col>
      <xdr:colOff>1266713</xdr:colOff>
      <xdr:row>5</xdr:row>
      <xdr:rowOff>3318128</xdr:rowOff>
    </xdr:from>
    <xdr:to>
      <xdr:col>0</xdr:col>
      <xdr:colOff>1711602</xdr:colOff>
      <xdr:row>5</xdr:row>
      <xdr:rowOff>3542884</xdr:rowOff>
    </xdr:to>
    <xdr:sp macro="" textlink="Formeln!AZ19">
      <xdr:nvSpPr>
        <xdr:cNvPr id="176" name="Textfeld 175"/>
        <xdr:cNvSpPr txBox="1"/>
      </xdr:nvSpPr>
      <xdr:spPr>
        <a:xfrm>
          <a:off x="126671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5D7BE033-F0A4-4BAA-884C-09B3D0808D9B}" type="TxLink">
            <a:rPr lang="en-US" sz="800" b="1" i="0" u="none" strike="noStrike">
              <a:solidFill>
                <a:srgbClr val="000000"/>
              </a:solidFill>
              <a:latin typeface="Calibri"/>
              <a:ea typeface="Verdana"/>
              <a:cs typeface="Calibri"/>
            </a:rPr>
            <a:pPr algn="l"/>
            <a:t>192</a:t>
          </a:fld>
          <a:endParaRPr lang="de-AT" sz="800" b="1">
            <a:solidFill>
              <a:sysClr val="windowText" lastClr="000000"/>
            </a:solidFill>
          </a:endParaRPr>
        </a:p>
      </xdr:txBody>
    </xdr:sp>
    <xdr:clientData/>
  </xdr:twoCellAnchor>
  <xdr:twoCellAnchor>
    <xdr:from>
      <xdr:col>0</xdr:col>
      <xdr:colOff>1028588</xdr:colOff>
      <xdr:row>5</xdr:row>
      <xdr:rowOff>3318128</xdr:rowOff>
    </xdr:from>
    <xdr:to>
      <xdr:col>0</xdr:col>
      <xdr:colOff>1473477</xdr:colOff>
      <xdr:row>5</xdr:row>
      <xdr:rowOff>3542884</xdr:rowOff>
    </xdr:to>
    <xdr:sp macro="" textlink="Formeln!BA19">
      <xdr:nvSpPr>
        <xdr:cNvPr id="177" name="Textfeld 176"/>
        <xdr:cNvSpPr txBox="1"/>
      </xdr:nvSpPr>
      <xdr:spPr>
        <a:xfrm>
          <a:off x="1028588"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2A1173F-6D8E-4486-89C9-75CE6D650BA4}" type="TxLink">
            <a:rPr lang="en-US" sz="800" b="1" i="0" u="none" strike="noStrike">
              <a:solidFill>
                <a:srgbClr val="000000"/>
              </a:solidFill>
              <a:latin typeface="Calibri"/>
              <a:ea typeface="Verdana"/>
              <a:cs typeface="Calibri"/>
            </a:rPr>
            <a:pPr algn="l"/>
            <a:t>224</a:t>
          </a:fld>
          <a:endParaRPr lang="de-AT" sz="800" b="1">
            <a:solidFill>
              <a:sysClr val="windowText" lastClr="000000"/>
            </a:solidFill>
          </a:endParaRPr>
        </a:p>
      </xdr:txBody>
    </xdr:sp>
    <xdr:clientData/>
  </xdr:twoCellAnchor>
  <xdr:twoCellAnchor>
    <xdr:from>
      <xdr:col>0</xdr:col>
      <xdr:colOff>733313</xdr:colOff>
      <xdr:row>5</xdr:row>
      <xdr:rowOff>3318128</xdr:rowOff>
    </xdr:from>
    <xdr:to>
      <xdr:col>0</xdr:col>
      <xdr:colOff>1178202</xdr:colOff>
      <xdr:row>5</xdr:row>
      <xdr:rowOff>3542884</xdr:rowOff>
    </xdr:to>
    <xdr:sp macro="" textlink="Formeln!BB19">
      <xdr:nvSpPr>
        <xdr:cNvPr id="178" name="Textfeld 177"/>
        <xdr:cNvSpPr txBox="1"/>
      </xdr:nvSpPr>
      <xdr:spPr>
        <a:xfrm>
          <a:off x="73331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B57EE8-4BBF-432F-9ABA-6DDE0A31C478}"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editAs="oneCell">
    <xdr:from>
      <xdr:col>1</xdr:col>
      <xdr:colOff>19051</xdr:colOff>
      <xdr:row>5</xdr:row>
      <xdr:rowOff>19050</xdr:rowOff>
    </xdr:from>
    <xdr:to>
      <xdr:col>1</xdr:col>
      <xdr:colOff>3411075</xdr:colOff>
      <xdr:row>5</xdr:row>
      <xdr:rowOff>4543426</xdr:rowOff>
    </xdr:to>
    <xdr:pic>
      <xdr:nvPicPr>
        <xdr:cNvPr id="50" name="Grafik 49"/>
        <xdr:cNvPicPr>
          <a:picLocks noChangeAspect="1"/>
        </xdr:cNvPicPr>
      </xdr:nvPicPr>
      <xdr:blipFill>
        <a:blip xmlns:r="http://schemas.openxmlformats.org/officeDocument/2006/relationships" r:embed="rId17"/>
        <a:stretch>
          <a:fillRect/>
        </a:stretch>
      </xdr:blipFill>
      <xdr:spPr>
        <a:xfrm>
          <a:off x="3438526" y="5848350"/>
          <a:ext cx="3392024" cy="4524376"/>
        </a:xfrm>
        <a:prstGeom prst="rect">
          <a:avLst/>
        </a:prstGeom>
      </xdr:spPr>
    </xdr:pic>
    <xdr:clientData/>
  </xdr:twoCellAnchor>
  <xdr:twoCellAnchor>
    <xdr:from>
      <xdr:col>1</xdr:col>
      <xdr:colOff>2959679</xdr:colOff>
      <xdr:row>5</xdr:row>
      <xdr:rowOff>4149702</xdr:rowOff>
    </xdr:from>
    <xdr:to>
      <xdr:col>1</xdr:col>
      <xdr:colOff>3404568</xdr:colOff>
      <xdr:row>5</xdr:row>
      <xdr:rowOff>4374458</xdr:rowOff>
    </xdr:to>
    <xdr:sp macro="" textlink="VIONARO!I6">
      <xdr:nvSpPr>
        <xdr:cNvPr id="179" name="Textfeld 178"/>
        <xdr:cNvSpPr txBox="1"/>
      </xdr:nvSpPr>
      <xdr:spPr>
        <a:xfrm>
          <a:off x="6379154" y="9979002"/>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CFF76D6-3C38-4F21-8319-EBB7D05E7B0C}" type="TxLink">
            <a:rPr lang="en-US" sz="800" b="0" i="0" u="none" strike="noStrike">
              <a:solidFill>
                <a:srgbClr val="000000"/>
              </a:solidFill>
              <a:latin typeface="Calibri"/>
              <a:ea typeface="Verdana"/>
              <a:cs typeface="Calibri"/>
            </a:rPr>
            <a:pPr algn="l"/>
            <a:t>18</a:t>
          </a:fld>
          <a:endParaRPr lang="de-AT" sz="1100">
            <a:solidFill>
              <a:sysClr val="windowText" lastClr="000000"/>
            </a:solidFill>
          </a:endParaRPr>
        </a:p>
      </xdr:txBody>
    </xdr:sp>
    <xdr:clientData/>
  </xdr:twoCellAnchor>
  <xdr:twoCellAnchor>
    <xdr:from>
      <xdr:col>1</xdr:col>
      <xdr:colOff>2889691</xdr:colOff>
      <xdr:row>5</xdr:row>
      <xdr:rowOff>3893770</xdr:rowOff>
    </xdr:from>
    <xdr:to>
      <xdr:col>1</xdr:col>
      <xdr:colOff>3334580</xdr:colOff>
      <xdr:row>5</xdr:row>
      <xdr:rowOff>4118526</xdr:rowOff>
    </xdr:to>
    <xdr:sp macro="" textlink="VIONARO!I31">
      <xdr:nvSpPr>
        <xdr:cNvPr id="180" name="Textfeld 179"/>
        <xdr:cNvSpPr txBox="1"/>
      </xdr:nvSpPr>
      <xdr:spPr>
        <a:xfrm>
          <a:off x="6309166" y="9723070"/>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7E9E207-65B6-49FA-B101-264933117619}" type="TxLink">
            <a:rPr lang="en-US" sz="900" b="0" i="0" u="none" strike="noStrike">
              <a:solidFill>
                <a:srgbClr val="000000"/>
              </a:solidFill>
              <a:latin typeface="Calibri"/>
              <a:ea typeface="Verdana"/>
              <a:cs typeface="Calibri"/>
            </a:rPr>
            <a:pPr algn="l"/>
            <a:t>37</a:t>
          </a:fld>
          <a:endParaRPr lang="de-AT" sz="1100">
            <a:solidFill>
              <a:sysClr val="windowText" lastClr="000000"/>
            </a:solidFill>
          </a:endParaRPr>
        </a:p>
      </xdr:txBody>
    </xdr:sp>
    <xdr:clientData/>
  </xdr:twoCellAnchor>
  <xdr:twoCellAnchor>
    <xdr:from>
      <xdr:col>1</xdr:col>
      <xdr:colOff>2895488</xdr:colOff>
      <xdr:row>5</xdr:row>
      <xdr:rowOff>3527678</xdr:rowOff>
    </xdr:from>
    <xdr:to>
      <xdr:col>1</xdr:col>
      <xdr:colOff>3340377</xdr:colOff>
      <xdr:row>5</xdr:row>
      <xdr:rowOff>3752434</xdr:rowOff>
    </xdr:to>
    <xdr:sp macro="" textlink="VIONARO!J31">
      <xdr:nvSpPr>
        <xdr:cNvPr id="181" name="Textfeld 180"/>
        <xdr:cNvSpPr txBox="1"/>
      </xdr:nvSpPr>
      <xdr:spPr>
        <a:xfrm>
          <a:off x="6314963" y="93569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7620465-EB75-4432-B83C-C6E16173EB9B}" type="TxLink">
            <a:rPr lang="en-US" sz="900" b="0" i="0" u="none" strike="noStrike">
              <a:solidFill>
                <a:srgbClr val="000000"/>
              </a:solidFill>
              <a:latin typeface="Calibri"/>
              <a:ea typeface="Verdana"/>
              <a:cs typeface="Calibri"/>
            </a:rPr>
            <a:pPr algn="l"/>
            <a:t>250</a:t>
          </a:fld>
          <a:endParaRPr lang="de-AT" sz="1100">
            <a:solidFill>
              <a:sysClr val="windowText" lastClr="000000"/>
            </a:solidFill>
          </a:endParaRPr>
        </a:p>
      </xdr:txBody>
    </xdr:sp>
    <xdr:clientData/>
  </xdr:twoCellAnchor>
  <xdr:twoCellAnchor>
    <xdr:from>
      <xdr:col>1</xdr:col>
      <xdr:colOff>245172</xdr:colOff>
      <xdr:row>5</xdr:row>
      <xdr:rowOff>2230093</xdr:rowOff>
    </xdr:from>
    <xdr:to>
      <xdr:col>1</xdr:col>
      <xdr:colOff>469928</xdr:colOff>
      <xdr:row>5</xdr:row>
      <xdr:rowOff>2676224</xdr:rowOff>
    </xdr:to>
    <xdr:sp macro="" textlink="VIONARO!K19">
      <xdr:nvSpPr>
        <xdr:cNvPr id="182" name="Textfeld 181"/>
        <xdr:cNvSpPr txBox="1"/>
      </xdr:nvSpPr>
      <xdr:spPr>
        <a:xfrm rot="16200000">
          <a:off x="3553959" y="8170081"/>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4BB17A0-D97B-4A18-BA4D-3678C344626E}" type="TxLink">
            <a:rPr lang="en-US" sz="800" b="0" i="0" u="none" strike="noStrike">
              <a:solidFill>
                <a:sysClr val="windowText" lastClr="000000"/>
              </a:solidFill>
              <a:latin typeface="Calibri"/>
              <a:ea typeface="Verdana"/>
              <a:cs typeface="Calibri"/>
            </a:rPr>
            <a:pPr algn="ctr"/>
            <a:t>705</a:t>
          </a:fld>
          <a:endParaRPr lang="de-AT" sz="1100" b="0">
            <a:solidFill>
              <a:sysClr val="windowText" lastClr="000000"/>
            </a:solidFill>
          </a:endParaRPr>
        </a:p>
      </xdr:txBody>
    </xdr:sp>
    <xdr:clientData/>
  </xdr:twoCellAnchor>
  <xdr:twoCellAnchor>
    <xdr:from>
      <xdr:col>1</xdr:col>
      <xdr:colOff>1414144</xdr:colOff>
      <xdr:row>5</xdr:row>
      <xdr:rowOff>321894</xdr:rowOff>
    </xdr:from>
    <xdr:to>
      <xdr:col>1</xdr:col>
      <xdr:colOff>1860275</xdr:colOff>
      <xdr:row>5</xdr:row>
      <xdr:rowOff>546650</xdr:rowOff>
    </xdr:to>
    <xdr:sp macro="" textlink="VIONARO!I8">
      <xdr:nvSpPr>
        <xdr:cNvPr id="183" name="Textfeld 182"/>
        <xdr:cNvSpPr txBox="1"/>
      </xdr:nvSpPr>
      <xdr:spPr>
        <a:xfrm>
          <a:off x="4833619" y="6151194"/>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B4C24CF-A547-4F89-9FBA-E4C16C8A3187}" type="TxLink">
            <a:rPr lang="en-US" sz="800" b="0" i="0" u="none" strike="noStrike">
              <a:solidFill>
                <a:srgbClr val="000000"/>
              </a:solidFill>
              <a:latin typeface="Calibri"/>
              <a:ea typeface="Verdana"/>
              <a:cs typeface="Calibri"/>
            </a:rPr>
            <a:pPr algn="ctr"/>
            <a:t>508</a:t>
          </a:fld>
          <a:endParaRPr lang="de-AT" sz="1100">
            <a:solidFill>
              <a:sysClr val="windowText" lastClr="000000"/>
            </a:solidFill>
          </a:endParaRPr>
        </a:p>
      </xdr:txBody>
    </xdr:sp>
    <xdr:clientData/>
  </xdr:twoCellAnchor>
  <xdr:twoCellAnchor>
    <xdr:from>
      <xdr:col>1</xdr:col>
      <xdr:colOff>2409713</xdr:colOff>
      <xdr:row>5</xdr:row>
      <xdr:rowOff>3708653</xdr:rowOff>
    </xdr:from>
    <xdr:to>
      <xdr:col>1</xdr:col>
      <xdr:colOff>2854602</xdr:colOff>
      <xdr:row>5</xdr:row>
      <xdr:rowOff>3933409</xdr:rowOff>
    </xdr:to>
    <xdr:sp macro="" textlink="Formeln!AX18">
      <xdr:nvSpPr>
        <xdr:cNvPr id="184" name="Textfeld 183"/>
        <xdr:cNvSpPr txBox="1"/>
      </xdr:nvSpPr>
      <xdr:spPr>
        <a:xfrm>
          <a:off x="582918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FB73D35-103B-4FE9-A303-51F1CD7F538B}"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1</xdr:col>
      <xdr:colOff>2085863</xdr:colOff>
      <xdr:row>5</xdr:row>
      <xdr:rowOff>3699128</xdr:rowOff>
    </xdr:from>
    <xdr:to>
      <xdr:col>1</xdr:col>
      <xdr:colOff>2530752</xdr:colOff>
      <xdr:row>5</xdr:row>
      <xdr:rowOff>3923884</xdr:rowOff>
    </xdr:to>
    <xdr:sp macro="" textlink="Formeln!AY18">
      <xdr:nvSpPr>
        <xdr:cNvPr id="185" name="Textfeld 184"/>
        <xdr:cNvSpPr txBox="1"/>
      </xdr:nvSpPr>
      <xdr:spPr>
        <a:xfrm>
          <a:off x="5505338" y="9528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8A05BBF-D87F-450E-9DCB-9ACE7DC182E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1</xdr:col>
      <xdr:colOff>1247663</xdr:colOff>
      <xdr:row>5</xdr:row>
      <xdr:rowOff>3708653</xdr:rowOff>
    </xdr:from>
    <xdr:to>
      <xdr:col>1</xdr:col>
      <xdr:colOff>1692552</xdr:colOff>
      <xdr:row>5</xdr:row>
      <xdr:rowOff>3933409</xdr:rowOff>
    </xdr:to>
    <xdr:sp macro="" textlink="Formeln!AZ18">
      <xdr:nvSpPr>
        <xdr:cNvPr id="186" name="Textfeld 185"/>
        <xdr:cNvSpPr txBox="1"/>
      </xdr:nvSpPr>
      <xdr:spPr>
        <a:xfrm>
          <a:off x="466713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6232700-93DA-46AC-AF64-C44D0B228D0D}"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1</xdr:col>
      <xdr:colOff>1009538</xdr:colOff>
      <xdr:row>5</xdr:row>
      <xdr:rowOff>3708653</xdr:rowOff>
    </xdr:from>
    <xdr:to>
      <xdr:col>1</xdr:col>
      <xdr:colOff>1454427</xdr:colOff>
      <xdr:row>5</xdr:row>
      <xdr:rowOff>3933409</xdr:rowOff>
    </xdr:to>
    <xdr:sp macro="" textlink="Formeln!BA18">
      <xdr:nvSpPr>
        <xdr:cNvPr id="187" name="Textfeld 186"/>
        <xdr:cNvSpPr txBox="1"/>
      </xdr:nvSpPr>
      <xdr:spPr>
        <a:xfrm>
          <a:off x="4429013"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2B1E5D8-E3B7-4F4C-82EC-8C6BBF97D3F3}"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1</xdr:col>
      <xdr:colOff>714263</xdr:colOff>
      <xdr:row>5</xdr:row>
      <xdr:rowOff>3708653</xdr:rowOff>
    </xdr:from>
    <xdr:to>
      <xdr:col>1</xdr:col>
      <xdr:colOff>1159152</xdr:colOff>
      <xdr:row>5</xdr:row>
      <xdr:rowOff>3933409</xdr:rowOff>
    </xdr:to>
    <xdr:sp macro="" textlink="Formeln!BB18">
      <xdr:nvSpPr>
        <xdr:cNvPr id="188" name="Textfeld 187"/>
        <xdr:cNvSpPr txBox="1"/>
      </xdr:nvSpPr>
      <xdr:spPr>
        <a:xfrm>
          <a:off x="413373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A973AF-14A6-4655-9DE1-F08CC9C5465D}"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1</xdr:col>
      <xdr:colOff>2419238</xdr:colOff>
      <xdr:row>5</xdr:row>
      <xdr:rowOff>3318128</xdr:rowOff>
    </xdr:from>
    <xdr:to>
      <xdr:col>1</xdr:col>
      <xdr:colOff>2864127</xdr:colOff>
      <xdr:row>5</xdr:row>
      <xdr:rowOff>3542884</xdr:rowOff>
    </xdr:to>
    <xdr:sp macro="" textlink="Formeln!AX19">
      <xdr:nvSpPr>
        <xdr:cNvPr id="189" name="Textfeld 188"/>
        <xdr:cNvSpPr txBox="1"/>
      </xdr:nvSpPr>
      <xdr:spPr>
        <a:xfrm>
          <a:off x="583871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D10AE02-B837-4105-A788-5442C22B7DA0}"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1</xdr:col>
      <xdr:colOff>2057288</xdr:colOff>
      <xdr:row>5</xdr:row>
      <xdr:rowOff>3318128</xdr:rowOff>
    </xdr:from>
    <xdr:to>
      <xdr:col>1</xdr:col>
      <xdr:colOff>2502177</xdr:colOff>
      <xdr:row>5</xdr:row>
      <xdr:rowOff>3542884</xdr:rowOff>
    </xdr:to>
    <xdr:sp macro="" textlink="Formeln!AY19">
      <xdr:nvSpPr>
        <xdr:cNvPr id="190" name="Textfeld 189"/>
        <xdr:cNvSpPr txBox="1"/>
      </xdr:nvSpPr>
      <xdr:spPr>
        <a:xfrm>
          <a:off x="547676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FBF0D92-39AE-459C-A0B7-2E21727AA784}"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1</xdr:col>
      <xdr:colOff>1257188</xdr:colOff>
      <xdr:row>5</xdr:row>
      <xdr:rowOff>3318128</xdr:rowOff>
    </xdr:from>
    <xdr:to>
      <xdr:col>1</xdr:col>
      <xdr:colOff>1702077</xdr:colOff>
      <xdr:row>5</xdr:row>
      <xdr:rowOff>3542884</xdr:rowOff>
    </xdr:to>
    <xdr:sp macro="" textlink="Formeln!AZ19">
      <xdr:nvSpPr>
        <xdr:cNvPr id="191" name="Textfeld 190"/>
        <xdr:cNvSpPr txBox="1"/>
      </xdr:nvSpPr>
      <xdr:spPr>
        <a:xfrm>
          <a:off x="467666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5D7BE033-F0A4-4BAA-884C-09B3D0808D9B}" type="TxLink">
            <a:rPr lang="en-US" sz="800" b="1" i="0" u="none" strike="noStrike">
              <a:solidFill>
                <a:srgbClr val="000000"/>
              </a:solidFill>
              <a:latin typeface="Calibri"/>
              <a:ea typeface="Verdana"/>
              <a:cs typeface="Calibri"/>
            </a:rPr>
            <a:pPr algn="l"/>
            <a:t>192</a:t>
          </a:fld>
          <a:endParaRPr lang="de-AT" sz="800" b="1">
            <a:solidFill>
              <a:sysClr val="windowText" lastClr="000000"/>
            </a:solidFill>
          </a:endParaRPr>
        </a:p>
      </xdr:txBody>
    </xdr:sp>
    <xdr:clientData/>
  </xdr:twoCellAnchor>
  <xdr:twoCellAnchor>
    <xdr:from>
      <xdr:col>1</xdr:col>
      <xdr:colOff>1019063</xdr:colOff>
      <xdr:row>5</xdr:row>
      <xdr:rowOff>3318128</xdr:rowOff>
    </xdr:from>
    <xdr:to>
      <xdr:col>1</xdr:col>
      <xdr:colOff>1463952</xdr:colOff>
      <xdr:row>5</xdr:row>
      <xdr:rowOff>3542884</xdr:rowOff>
    </xdr:to>
    <xdr:sp macro="" textlink="Formeln!BA19">
      <xdr:nvSpPr>
        <xdr:cNvPr id="192" name="Textfeld 191"/>
        <xdr:cNvSpPr txBox="1"/>
      </xdr:nvSpPr>
      <xdr:spPr>
        <a:xfrm>
          <a:off x="4438538"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2A1173F-6D8E-4486-89C9-75CE6D650BA4}" type="TxLink">
            <a:rPr lang="en-US" sz="800" b="1" i="0" u="none" strike="noStrike">
              <a:solidFill>
                <a:srgbClr val="000000"/>
              </a:solidFill>
              <a:latin typeface="Calibri"/>
              <a:ea typeface="Verdana"/>
              <a:cs typeface="Calibri"/>
            </a:rPr>
            <a:pPr algn="l"/>
            <a:t>224</a:t>
          </a:fld>
          <a:endParaRPr lang="de-AT" sz="800" b="1">
            <a:solidFill>
              <a:sysClr val="windowText" lastClr="000000"/>
            </a:solidFill>
          </a:endParaRPr>
        </a:p>
      </xdr:txBody>
    </xdr:sp>
    <xdr:clientData/>
  </xdr:twoCellAnchor>
  <xdr:twoCellAnchor>
    <xdr:from>
      <xdr:col>1</xdr:col>
      <xdr:colOff>723788</xdr:colOff>
      <xdr:row>5</xdr:row>
      <xdr:rowOff>3318128</xdr:rowOff>
    </xdr:from>
    <xdr:to>
      <xdr:col>1</xdr:col>
      <xdr:colOff>1168677</xdr:colOff>
      <xdr:row>5</xdr:row>
      <xdr:rowOff>3542884</xdr:rowOff>
    </xdr:to>
    <xdr:sp macro="" textlink="Formeln!BB19">
      <xdr:nvSpPr>
        <xdr:cNvPr id="193" name="Textfeld 192"/>
        <xdr:cNvSpPr txBox="1"/>
      </xdr:nvSpPr>
      <xdr:spPr>
        <a:xfrm>
          <a:off x="414326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B57EE8-4BBF-432F-9ABA-6DDE0A31C478}"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1</xdr:col>
      <xdr:colOff>2419238</xdr:colOff>
      <xdr:row>5</xdr:row>
      <xdr:rowOff>2298953</xdr:rowOff>
    </xdr:from>
    <xdr:to>
      <xdr:col>1</xdr:col>
      <xdr:colOff>2864127</xdr:colOff>
      <xdr:row>5</xdr:row>
      <xdr:rowOff>2523709</xdr:rowOff>
    </xdr:to>
    <xdr:sp macro="" textlink="Formeln!AX26">
      <xdr:nvSpPr>
        <xdr:cNvPr id="194" name="Textfeld 193"/>
        <xdr:cNvSpPr txBox="1"/>
      </xdr:nvSpPr>
      <xdr:spPr>
        <a:xfrm>
          <a:off x="5838713" y="81282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A0AA02B1-C738-4B55-ABDE-89483FA5F134}"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1</xdr:col>
      <xdr:colOff>2085863</xdr:colOff>
      <xdr:row>5</xdr:row>
      <xdr:rowOff>2298953</xdr:rowOff>
    </xdr:from>
    <xdr:to>
      <xdr:col>1</xdr:col>
      <xdr:colOff>2530752</xdr:colOff>
      <xdr:row>5</xdr:row>
      <xdr:rowOff>2523709</xdr:rowOff>
    </xdr:to>
    <xdr:sp macro="" textlink="Formeln!AY26">
      <xdr:nvSpPr>
        <xdr:cNvPr id="195" name="Textfeld 194"/>
        <xdr:cNvSpPr txBox="1"/>
      </xdr:nvSpPr>
      <xdr:spPr>
        <a:xfrm>
          <a:off x="5505338" y="81282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2F344EF-AC2B-4E27-8BAF-C031A7A8761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1</xdr:col>
      <xdr:colOff>1257188</xdr:colOff>
      <xdr:row>5</xdr:row>
      <xdr:rowOff>2298953</xdr:rowOff>
    </xdr:from>
    <xdr:to>
      <xdr:col>1</xdr:col>
      <xdr:colOff>1702077</xdr:colOff>
      <xdr:row>5</xdr:row>
      <xdr:rowOff>2523709</xdr:rowOff>
    </xdr:to>
    <xdr:sp macro="" textlink="Formeln!AZ26">
      <xdr:nvSpPr>
        <xdr:cNvPr id="196" name="Textfeld 195"/>
        <xdr:cNvSpPr txBox="1"/>
      </xdr:nvSpPr>
      <xdr:spPr>
        <a:xfrm>
          <a:off x="4676663" y="81282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C8A5A48-4BD5-486F-9A27-0C0F2E0E1499}"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1</xdr:col>
      <xdr:colOff>1019063</xdr:colOff>
      <xdr:row>5</xdr:row>
      <xdr:rowOff>2298953</xdr:rowOff>
    </xdr:from>
    <xdr:to>
      <xdr:col>1</xdr:col>
      <xdr:colOff>1463952</xdr:colOff>
      <xdr:row>5</xdr:row>
      <xdr:rowOff>2523709</xdr:rowOff>
    </xdr:to>
    <xdr:sp macro="" textlink="Formeln!BA26">
      <xdr:nvSpPr>
        <xdr:cNvPr id="197" name="Textfeld 196"/>
        <xdr:cNvSpPr txBox="1"/>
      </xdr:nvSpPr>
      <xdr:spPr>
        <a:xfrm>
          <a:off x="4438538" y="81282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7EA715A-2A91-4AD1-B0BB-4D06DAAFEB60}"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1</xdr:col>
      <xdr:colOff>723788</xdr:colOff>
      <xdr:row>5</xdr:row>
      <xdr:rowOff>2298953</xdr:rowOff>
    </xdr:from>
    <xdr:to>
      <xdr:col>1</xdr:col>
      <xdr:colOff>1168677</xdr:colOff>
      <xdr:row>5</xdr:row>
      <xdr:rowOff>2523709</xdr:rowOff>
    </xdr:to>
    <xdr:sp macro="" textlink="Formeln!BB26">
      <xdr:nvSpPr>
        <xdr:cNvPr id="198" name="Textfeld 197"/>
        <xdr:cNvSpPr txBox="1"/>
      </xdr:nvSpPr>
      <xdr:spPr>
        <a:xfrm>
          <a:off x="4143263" y="81282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3BCFECA3-7921-4113-A2B9-4F1005689399}"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1</xdr:col>
      <xdr:colOff>2428763</xdr:colOff>
      <xdr:row>5</xdr:row>
      <xdr:rowOff>1908428</xdr:rowOff>
    </xdr:from>
    <xdr:to>
      <xdr:col>1</xdr:col>
      <xdr:colOff>2873652</xdr:colOff>
      <xdr:row>5</xdr:row>
      <xdr:rowOff>2133184</xdr:rowOff>
    </xdr:to>
    <xdr:sp macro="" textlink="Formeln!AX27">
      <xdr:nvSpPr>
        <xdr:cNvPr id="199" name="Textfeld 198"/>
        <xdr:cNvSpPr txBox="1"/>
      </xdr:nvSpPr>
      <xdr:spPr>
        <a:xfrm>
          <a:off x="5848238" y="77377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50EA12A0-B2D5-4A62-8053-097ED003B030}"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1</xdr:col>
      <xdr:colOff>2066813</xdr:colOff>
      <xdr:row>5</xdr:row>
      <xdr:rowOff>1908428</xdr:rowOff>
    </xdr:from>
    <xdr:to>
      <xdr:col>1</xdr:col>
      <xdr:colOff>2511702</xdr:colOff>
      <xdr:row>5</xdr:row>
      <xdr:rowOff>2133184</xdr:rowOff>
    </xdr:to>
    <xdr:sp macro="" textlink="Formeln!AY27">
      <xdr:nvSpPr>
        <xdr:cNvPr id="200" name="Textfeld 199"/>
        <xdr:cNvSpPr txBox="1"/>
      </xdr:nvSpPr>
      <xdr:spPr>
        <a:xfrm>
          <a:off x="5486288" y="77377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01B5C70-BD32-4A2B-977A-566F44AE3F97}"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1</xdr:col>
      <xdr:colOff>1266713</xdr:colOff>
      <xdr:row>5</xdr:row>
      <xdr:rowOff>1908428</xdr:rowOff>
    </xdr:from>
    <xdr:to>
      <xdr:col>1</xdr:col>
      <xdr:colOff>1711602</xdr:colOff>
      <xdr:row>5</xdr:row>
      <xdr:rowOff>2133184</xdr:rowOff>
    </xdr:to>
    <xdr:sp macro="" textlink="Formeln!AZ27">
      <xdr:nvSpPr>
        <xdr:cNvPr id="201" name="Textfeld 200"/>
        <xdr:cNvSpPr txBox="1"/>
      </xdr:nvSpPr>
      <xdr:spPr>
        <a:xfrm>
          <a:off x="4686188" y="77377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2D10635E-ADCD-4DAE-9E3C-5B0D7B02E022}"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1</xdr:col>
      <xdr:colOff>1028588</xdr:colOff>
      <xdr:row>5</xdr:row>
      <xdr:rowOff>1908428</xdr:rowOff>
    </xdr:from>
    <xdr:to>
      <xdr:col>1</xdr:col>
      <xdr:colOff>1473477</xdr:colOff>
      <xdr:row>5</xdr:row>
      <xdr:rowOff>2133184</xdr:rowOff>
    </xdr:to>
    <xdr:sp macro="" textlink="Formeln!BA27">
      <xdr:nvSpPr>
        <xdr:cNvPr id="202" name="Textfeld 201"/>
        <xdr:cNvSpPr txBox="1"/>
      </xdr:nvSpPr>
      <xdr:spPr>
        <a:xfrm>
          <a:off x="4448063" y="77377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42E8812A-0D05-49CF-AA9E-754A10390693}"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1</xdr:col>
      <xdr:colOff>733313</xdr:colOff>
      <xdr:row>5</xdr:row>
      <xdr:rowOff>1908428</xdr:rowOff>
    </xdr:from>
    <xdr:to>
      <xdr:col>1</xdr:col>
      <xdr:colOff>1178202</xdr:colOff>
      <xdr:row>5</xdr:row>
      <xdr:rowOff>2133184</xdr:rowOff>
    </xdr:to>
    <xdr:sp macro="" textlink="Formeln!BB27">
      <xdr:nvSpPr>
        <xdr:cNvPr id="203" name="Textfeld 202"/>
        <xdr:cNvSpPr txBox="1"/>
      </xdr:nvSpPr>
      <xdr:spPr>
        <a:xfrm>
          <a:off x="4152788" y="77377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F042A290-8CC5-4172-BB76-3CBAD8503C35}"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1</xdr:col>
      <xdr:colOff>2885963</xdr:colOff>
      <xdr:row>5</xdr:row>
      <xdr:rowOff>2508503</xdr:rowOff>
    </xdr:from>
    <xdr:to>
      <xdr:col>1</xdr:col>
      <xdr:colOff>3330852</xdr:colOff>
      <xdr:row>5</xdr:row>
      <xdr:rowOff>2733259</xdr:rowOff>
    </xdr:to>
    <xdr:sp macro="" textlink="VIONARO!I32">
      <xdr:nvSpPr>
        <xdr:cNvPr id="204" name="Textfeld 203"/>
        <xdr:cNvSpPr txBox="1"/>
      </xdr:nvSpPr>
      <xdr:spPr>
        <a:xfrm>
          <a:off x="6305438" y="83378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D5AF077-420E-4E95-8EA5-8C7623DD414A}" type="TxLink">
            <a:rPr lang="en-US" sz="900" b="0" i="0" u="none" strike="noStrike">
              <a:solidFill>
                <a:srgbClr val="000000"/>
              </a:solidFill>
              <a:latin typeface="Calibri"/>
              <a:ea typeface="Verdana"/>
              <a:cs typeface="Calibri"/>
            </a:rPr>
            <a:pPr algn="l"/>
            <a:t>587</a:t>
          </a:fld>
          <a:endParaRPr lang="de-AT" sz="1100">
            <a:solidFill>
              <a:sysClr val="windowText" lastClr="000000"/>
            </a:solidFill>
          </a:endParaRPr>
        </a:p>
      </xdr:txBody>
    </xdr:sp>
    <xdr:clientData/>
  </xdr:twoCellAnchor>
  <xdr:twoCellAnchor>
    <xdr:from>
      <xdr:col>1</xdr:col>
      <xdr:colOff>2885963</xdr:colOff>
      <xdr:row>5</xdr:row>
      <xdr:rowOff>2146553</xdr:rowOff>
    </xdr:from>
    <xdr:to>
      <xdr:col>1</xdr:col>
      <xdr:colOff>3330852</xdr:colOff>
      <xdr:row>5</xdr:row>
      <xdr:rowOff>2371309</xdr:rowOff>
    </xdr:to>
    <xdr:sp macro="" textlink="VIONARO!J32">
      <xdr:nvSpPr>
        <xdr:cNvPr id="205" name="Textfeld 204"/>
        <xdr:cNvSpPr txBox="1"/>
      </xdr:nvSpPr>
      <xdr:spPr>
        <a:xfrm>
          <a:off x="6305438" y="79758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0B807898-FDC2-4831-8C51-BD80C6075785}"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editAs="oneCell">
    <xdr:from>
      <xdr:col>2</xdr:col>
      <xdr:colOff>9525</xdr:colOff>
      <xdr:row>5</xdr:row>
      <xdr:rowOff>23395</xdr:rowOff>
    </xdr:from>
    <xdr:to>
      <xdr:col>2</xdr:col>
      <xdr:colOff>3409950</xdr:colOff>
      <xdr:row>5</xdr:row>
      <xdr:rowOff>4567416</xdr:rowOff>
    </xdr:to>
    <xdr:pic>
      <xdr:nvPicPr>
        <xdr:cNvPr id="51" name="Grafik 50"/>
        <xdr:cNvPicPr>
          <a:picLocks noChangeAspect="1"/>
        </xdr:cNvPicPr>
      </xdr:nvPicPr>
      <xdr:blipFill>
        <a:blip xmlns:r="http://schemas.openxmlformats.org/officeDocument/2006/relationships" r:embed="rId18"/>
        <a:stretch>
          <a:fillRect/>
        </a:stretch>
      </xdr:blipFill>
      <xdr:spPr>
        <a:xfrm>
          <a:off x="6848475" y="5852695"/>
          <a:ext cx="3400425" cy="4544021"/>
        </a:xfrm>
        <a:prstGeom prst="rect">
          <a:avLst/>
        </a:prstGeom>
      </xdr:spPr>
    </xdr:pic>
    <xdr:clientData/>
  </xdr:twoCellAnchor>
  <xdr:twoCellAnchor>
    <xdr:from>
      <xdr:col>2</xdr:col>
      <xdr:colOff>2959679</xdr:colOff>
      <xdr:row>5</xdr:row>
      <xdr:rowOff>4178277</xdr:rowOff>
    </xdr:from>
    <xdr:to>
      <xdr:col>2</xdr:col>
      <xdr:colOff>3404568</xdr:colOff>
      <xdr:row>5</xdr:row>
      <xdr:rowOff>4403033</xdr:rowOff>
    </xdr:to>
    <xdr:sp macro="" textlink="VIONARO!I6">
      <xdr:nvSpPr>
        <xdr:cNvPr id="206" name="Textfeld 205"/>
        <xdr:cNvSpPr txBox="1"/>
      </xdr:nvSpPr>
      <xdr:spPr>
        <a:xfrm>
          <a:off x="9798629" y="10007577"/>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CFF76D6-3C38-4F21-8319-EBB7D05E7B0C}" type="TxLink">
            <a:rPr lang="en-US" sz="800" b="0" i="0" u="none" strike="noStrike">
              <a:solidFill>
                <a:srgbClr val="000000"/>
              </a:solidFill>
              <a:latin typeface="Calibri"/>
              <a:ea typeface="Verdana"/>
              <a:cs typeface="Calibri"/>
            </a:rPr>
            <a:pPr algn="l"/>
            <a:t>18</a:t>
          </a:fld>
          <a:endParaRPr lang="de-AT" sz="1100">
            <a:solidFill>
              <a:sysClr val="windowText" lastClr="000000"/>
            </a:solidFill>
          </a:endParaRPr>
        </a:p>
      </xdr:txBody>
    </xdr:sp>
    <xdr:clientData/>
  </xdr:twoCellAnchor>
  <xdr:twoCellAnchor>
    <xdr:from>
      <xdr:col>2</xdr:col>
      <xdr:colOff>2889691</xdr:colOff>
      <xdr:row>5</xdr:row>
      <xdr:rowOff>3893770</xdr:rowOff>
    </xdr:from>
    <xdr:to>
      <xdr:col>2</xdr:col>
      <xdr:colOff>3334580</xdr:colOff>
      <xdr:row>5</xdr:row>
      <xdr:rowOff>4118526</xdr:rowOff>
    </xdr:to>
    <xdr:sp macro="" textlink="VIONARO!I31">
      <xdr:nvSpPr>
        <xdr:cNvPr id="207" name="Textfeld 206"/>
        <xdr:cNvSpPr txBox="1"/>
      </xdr:nvSpPr>
      <xdr:spPr>
        <a:xfrm>
          <a:off x="9728641" y="9723070"/>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7E9E207-65B6-49FA-B101-264933117619}" type="TxLink">
            <a:rPr lang="en-US" sz="900" b="0" i="0" u="none" strike="noStrike">
              <a:solidFill>
                <a:srgbClr val="000000"/>
              </a:solidFill>
              <a:latin typeface="Calibri"/>
              <a:ea typeface="Verdana"/>
              <a:cs typeface="Calibri"/>
            </a:rPr>
            <a:pPr algn="l"/>
            <a:t>37</a:t>
          </a:fld>
          <a:endParaRPr lang="de-AT" sz="1100">
            <a:solidFill>
              <a:sysClr val="windowText" lastClr="000000"/>
            </a:solidFill>
          </a:endParaRPr>
        </a:p>
      </xdr:txBody>
    </xdr:sp>
    <xdr:clientData/>
  </xdr:twoCellAnchor>
  <xdr:twoCellAnchor>
    <xdr:from>
      <xdr:col>2</xdr:col>
      <xdr:colOff>2895488</xdr:colOff>
      <xdr:row>5</xdr:row>
      <xdr:rowOff>3527678</xdr:rowOff>
    </xdr:from>
    <xdr:to>
      <xdr:col>2</xdr:col>
      <xdr:colOff>3340377</xdr:colOff>
      <xdr:row>5</xdr:row>
      <xdr:rowOff>3752434</xdr:rowOff>
    </xdr:to>
    <xdr:sp macro="" textlink="VIONARO!J31">
      <xdr:nvSpPr>
        <xdr:cNvPr id="208" name="Textfeld 207"/>
        <xdr:cNvSpPr txBox="1"/>
      </xdr:nvSpPr>
      <xdr:spPr>
        <a:xfrm>
          <a:off x="9734438" y="93569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7620465-EB75-4432-B83C-C6E16173EB9B}" type="TxLink">
            <a:rPr lang="en-US" sz="900" b="0" i="0" u="none" strike="noStrike">
              <a:solidFill>
                <a:srgbClr val="000000"/>
              </a:solidFill>
              <a:latin typeface="Calibri"/>
              <a:ea typeface="Verdana"/>
              <a:cs typeface="Calibri"/>
            </a:rPr>
            <a:pPr algn="l"/>
            <a:t>250</a:t>
          </a:fld>
          <a:endParaRPr lang="de-AT" sz="1100">
            <a:solidFill>
              <a:sysClr val="windowText" lastClr="000000"/>
            </a:solidFill>
          </a:endParaRPr>
        </a:p>
      </xdr:txBody>
    </xdr:sp>
    <xdr:clientData/>
  </xdr:twoCellAnchor>
  <xdr:twoCellAnchor>
    <xdr:from>
      <xdr:col>2</xdr:col>
      <xdr:colOff>245172</xdr:colOff>
      <xdr:row>5</xdr:row>
      <xdr:rowOff>2230093</xdr:rowOff>
    </xdr:from>
    <xdr:to>
      <xdr:col>2</xdr:col>
      <xdr:colOff>469928</xdr:colOff>
      <xdr:row>5</xdr:row>
      <xdr:rowOff>2676224</xdr:rowOff>
    </xdr:to>
    <xdr:sp macro="" textlink="VIONARO!K19">
      <xdr:nvSpPr>
        <xdr:cNvPr id="209" name="Textfeld 208"/>
        <xdr:cNvSpPr txBox="1"/>
      </xdr:nvSpPr>
      <xdr:spPr>
        <a:xfrm rot="16200000">
          <a:off x="6973434" y="8170081"/>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4BB17A0-D97B-4A18-BA4D-3678C344626E}" type="TxLink">
            <a:rPr lang="en-US" sz="800" b="0" i="0" u="none" strike="noStrike">
              <a:solidFill>
                <a:sysClr val="windowText" lastClr="000000"/>
              </a:solidFill>
              <a:latin typeface="Calibri"/>
              <a:ea typeface="Verdana"/>
              <a:cs typeface="Calibri"/>
            </a:rPr>
            <a:pPr algn="ctr"/>
            <a:t>705</a:t>
          </a:fld>
          <a:endParaRPr lang="de-AT" sz="1100" b="0">
            <a:solidFill>
              <a:sysClr val="windowText" lastClr="000000"/>
            </a:solidFill>
          </a:endParaRPr>
        </a:p>
      </xdr:txBody>
    </xdr:sp>
    <xdr:clientData/>
  </xdr:twoCellAnchor>
  <xdr:twoCellAnchor>
    <xdr:from>
      <xdr:col>2</xdr:col>
      <xdr:colOff>1414144</xdr:colOff>
      <xdr:row>5</xdr:row>
      <xdr:rowOff>321894</xdr:rowOff>
    </xdr:from>
    <xdr:to>
      <xdr:col>2</xdr:col>
      <xdr:colOff>1860275</xdr:colOff>
      <xdr:row>5</xdr:row>
      <xdr:rowOff>546650</xdr:rowOff>
    </xdr:to>
    <xdr:sp macro="" textlink="VIONARO!I8">
      <xdr:nvSpPr>
        <xdr:cNvPr id="210" name="Textfeld 209"/>
        <xdr:cNvSpPr txBox="1"/>
      </xdr:nvSpPr>
      <xdr:spPr>
        <a:xfrm>
          <a:off x="8253094" y="6151194"/>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B4C24CF-A547-4F89-9FBA-E4C16C8A3187}" type="TxLink">
            <a:rPr lang="en-US" sz="800" b="0" i="0" u="none" strike="noStrike">
              <a:solidFill>
                <a:srgbClr val="000000"/>
              </a:solidFill>
              <a:latin typeface="Calibri"/>
              <a:ea typeface="Verdana"/>
              <a:cs typeface="Calibri"/>
            </a:rPr>
            <a:pPr algn="ctr"/>
            <a:t>508</a:t>
          </a:fld>
          <a:endParaRPr lang="de-AT" sz="1100">
            <a:solidFill>
              <a:sysClr val="windowText" lastClr="000000"/>
            </a:solidFill>
          </a:endParaRPr>
        </a:p>
      </xdr:txBody>
    </xdr:sp>
    <xdr:clientData/>
  </xdr:twoCellAnchor>
  <xdr:twoCellAnchor>
    <xdr:from>
      <xdr:col>2</xdr:col>
      <xdr:colOff>2409713</xdr:colOff>
      <xdr:row>5</xdr:row>
      <xdr:rowOff>3708653</xdr:rowOff>
    </xdr:from>
    <xdr:to>
      <xdr:col>2</xdr:col>
      <xdr:colOff>2854602</xdr:colOff>
      <xdr:row>5</xdr:row>
      <xdr:rowOff>3933409</xdr:rowOff>
    </xdr:to>
    <xdr:sp macro="" textlink="Formeln!AX18">
      <xdr:nvSpPr>
        <xdr:cNvPr id="211" name="Textfeld 210"/>
        <xdr:cNvSpPr txBox="1"/>
      </xdr:nvSpPr>
      <xdr:spPr>
        <a:xfrm>
          <a:off x="9248663"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FB73D35-103B-4FE9-A303-51F1CD7F538B}"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2</xdr:col>
      <xdr:colOff>2085863</xdr:colOff>
      <xdr:row>5</xdr:row>
      <xdr:rowOff>3699128</xdr:rowOff>
    </xdr:from>
    <xdr:to>
      <xdr:col>2</xdr:col>
      <xdr:colOff>2530752</xdr:colOff>
      <xdr:row>5</xdr:row>
      <xdr:rowOff>3923884</xdr:rowOff>
    </xdr:to>
    <xdr:sp macro="" textlink="Formeln!AY18">
      <xdr:nvSpPr>
        <xdr:cNvPr id="212" name="Textfeld 211"/>
        <xdr:cNvSpPr txBox="1"/>
      </xdr:nvSpPr>
      <xdr:spPr>
        <a:xfrm>
          <a:off x="8924813" y="9528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8A05BBF-D87F-450E-9DCB-9ACE7DC182E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2</xdr:col>
      <xdr:colOff>1247663</xdr:colOff>
      <xdr:row>5</xdr:row>
      <xdr:rowOff>3708653</xdr:rowOff>
    </xdr:from>
    <xdr:to>
      <xdr:col>2</xdr:col>
      <xdr:colOff>1692552</xdr:colOff>
      <xdr:row>5</xdr:row>
      <xdr:rowOff>3933409</xdr:rowOff>
    </xdr:to>
    <xdr:sp macro="" textlink="Formeln!AZ18">
      <xdr:nvSpPr>
        <xdr:cNvPr id="213" name="Textfeld 212"/>
        <xdr:cNvSpPr txBox="1"/>
      </xdr:nvSpPr>
      <xdr:spPr>
        <a:xfrm>
          <a:off x="8086613"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6232700-93DA-46AC-AF64-C44D0B228D0D}"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2</xdr:col>
      <xdr:colOff>1009538</xdr:colOff>
      <xdr:row>5</xdr:row>
      <xdr:rowOff>3708653</xdr:rowOff>
    </xdr:from>
    <xdr:to>
      <xdr:col>2</xdr:col>
      <xdr:colOff>1454427</xdr:colOff>
      <xdr:row>5</xdr:row>
      <xdr:rowOff>3933409</xdr:rowOff>
    </xdr:to>
    <xdr:sp macro="" textlink="Formeln!BA18">
      <xdr:nvSpPr>
        <xdr:cNvPr id="214" name="Textfeld 213"/>
        <xdr:cNvSpPr txBox="1"/>
      </xdr:nvSpPr>
      <xdr:spPr>
        <a:xfrm>
          <a:off x="7848488"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2B1E5D8-E3B7-4F4C-82EC-8C6BBF97D3F3}"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2</xdr:col>
      <xdr:colOff>714263</xdr:colOff>
      <xdr:row>5</xdr:row>
      <xdr:rowOff>3708653</xdr:rowOff>
    </xdr:from>
    <xdr:to>
      <xdr:col>2</xdr:col>
      <xdr:colOff>1159152</xdr:colOff>
      <xdr:row>5</xdr:row>
      <xdr:rowOff>3933409</xdr:rowOff>
    </xdr:to>
    <xdr:sp macro="" textlink="Formeln!BB18">
      <xdr:nvSpPr>
        <xdr:cNvPr id="215" name="Textfeld 214"/>
        <xdr:cNvSpPr txBox="1"/>
      </xdr:nvSpPr>
      <xdr:spPr>
        <a:xfrm>
          <a:off x="7553213" y="9537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A973AF-14A6-4655-9DE1-F08CC9C5465D}"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2</xdr:col>
      <xdr:colOff>2419238</xdr:colOff>
      <xdr:row>5</xdr:row>
      <xdr:rowOff>3318128</xdr:rowOff>
    </xdr:from>
    <xdr:to>
      <xdr:col>2</xdr:col>
      <xdr:colOff>2864127</xdr:colOff>
      <xdr:row>5</xdr:row>
      <xdr:rowOff>3542884</xdr:rowOff>
    </xdr:to>
    <xdr:sp macro="" textlink="Formeln!AX19">
      <xdr:nvSpPr>
        <xdr:cNvPr id="216" name="Textfeld 215"/>
        <xdr:cNvSpPr txBox="1"/>
      </xdr:nvSpPr>
      <xdr:spPr>
        <a:xfrm>
          <a:off x="9258188"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D10AE02-B837-4105-A788-5442C22B7DA0}"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2</xdr:col>
      <xdr:colOff>2057288</xdr:colOff>
      <xdr:row>5</xdr:row>
      <xdr:rowOff>3318128</xdr:rowOff>
    </xdr:from>
    <xdr:to>
      <xdr:col>2</xdr:col>
      <xdr:colOff>2502177</xdr:colOff>
      <xdr:row>5</xdr:row>
      <xdr:rowOff>3542884</xdr:rowOff>
    </xdr:to>
    <xdr:sp macro="" textlink="Formeln!AY19">
      <xdr:nvSpPr>
        <xdr:cNvPr id="217" name="Textfeld 216"/>
        <xdr:cNvSpPr txBox="1"/>
      </xdr:nvSpPr>
      <xdr:spPr>
        <a:xfrm>
          <a:off x="8896238"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FBF0D92-39AE-459C-A0B7-2E21727AA784}"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2</xdr:col>
      <xdr:colOff>1257188</xdr:colOff>
      <xdr:row>5</xdr:row>
      <xdr:rowOff>3318128</xdr:rowOff>
    </xdr:from>
    <xdr:to>
      <xdr:col>2</xdr:col>
      <xdr:colOff>1702077</xdr:colOff>
      <xdr:row>5</xdr:row>
      <xdr:rowOff>3542884</xdr:rowOff>
    </xdr:to>
    <xdr:sp macro="" textlink="Formeln!AZ19">
      <xdr:nvSpPr>
        <xdr:cNvPr id="218" name="Textfeld 217"/>
        <xdr:cNvSpPr txBox="1"/>
      </xdr:nvSpPr>
      <xdr:spPr>
        <a:xfrm>
          <a:off x="8096138"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5D7BE033-F0A4-4BAA-884C-09B3D0808D9B}" type="TxLink">
            <a:rPr lang="en-US" sz="800" b="1" i="0" u="none" strike="noStrike">
              <a:solidFill>
                <a:srgbClr val="000000"/>
              </a:solidFill>
              <a:latin typeface="Calibri"/>
              <a:ea typeface="Verdana"/>
              <a:cs typeface="Calibri"/>
            </a:rPr>
            <a:pPr algn="l"/>
            <a:t>192</a:t>
          </a:fld>
          <a:endParaRPr lang="de-AT" sz="800" b="1">
            <a:solidFill>
              <a:sysClr val="windowText" lastClr="000000"/>
            </a:solidFill>
          </a:endParaRPr>
        </a:p>
      </xdr:txBody>
    </xdr:sp>
    <xdr:clientData/>
  </xdr:twoCellAnchor>
  <xdr:twoCellAnchor>
    <xdr:from>
      <xdr:col>2</xdr:col>
      <xdr:colOff>1019063</xdr:colOff>
      <xdr:row>5</xdr:row>
      <xdr:rowOff>3318128</xdr:rowOff>
    </xdr:from>
    <xdr:to>
      <xdr:col>2</xdr:col>
      <xdr:colOff>1463952</xdr:colOff>
      <xdr:row>5</xdr:row>
      <xdr:rowOff>3542884</xdr:rowOff>
    </xdr:to>
    <xdr:sp macro="" textlink="Formeln!BA19">
      <xdr:nvSpPr>
        <xdr:cNvPr id="219" name="Textfeld 218"/>
        <xdr:cNvSpPr txBox="1"/>
      </xdr:nvSpPr>
      <xdr:spPr>
        <a:xfrm>
          <a:off x="7858013"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2A1173F-6D8E-4486-89C9-75CE6D650BA4}" type="TxLink">
            <a:rPr lang="en-US" sz="800" b="1" i="0" u="none" strike="noStrike">
              <a:solidFill>
                <a:srgbClr val="000000"/>
              </a:solidFill>
              <a:latin typeface="Calibri"/>
              <a:ea typeface="Verdana"/>
              <a:cs typeface="Calibri"/>
            </a:rPr>
            <a:pPr algn="l"/>
            <a:t>224</a:t>
          </a:fld>
          <a:endParaRPr lang="de-AT" sz="800" b="1">
            <a:solidFill>
              <a:sysClr val="windowText" lastClr="000000"/>
            </a:solidFill>
          </a:endParaRPr>
        </a:p>
      </xdr:txBody>
    </xdr:sp>
    <xdr:clientData/>
  </xdr:twoCellAnchor>
  <xdr:twoCellAnchor>
    <xdr:from>
      <xdr:col>2</xdr:col>
      <xdr:colOff>723788</xdr:colOff>
      <xdr:row>5</xdr:row>
      <xdr:rowOff>3318128</xdr:rowOff>
    </xdr:from>
    <xdr:to>
      <xdr:col>2</xdr:col>
      <xdr:colOff>1168677</xdr:colOff>
      <xdr:row>5</xdr:row>
      <xdr:rowOff>3542884</xdr:rowOff>
    </xdr:to>
    <xdr:sp macro="" textlink="Formeln!BB19">
      <xdr:nvSpPr>
        <xdr:cNvPr id="220" name="Textfeld 219"/>
        <xdr:cNvSpPr txBox="1"/>
      </xdr:nvSpPr>
      <xdr:spPr>
        <a:xfrm>
          <a:off x="7562738" y="91474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B57EE8-4BBF-432F-9ABA-6DDE0A31C478}"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2</xdr:col>
      <xdr:colOff>2419238</xdr:colOff>
      <xdr:row>5</xdr:row>
      <xdr:rowOff>2403728</xdr:rowOff>
    </xdr:from>
    <xdr:to>
      <xdr:col>2</xdr:col>
      <xdr:colOff>2864127</xdr:colOff>
      <xdr:row>5</xdr:row>
      <xdr:rowOff>2628484</xdr:rowOff>
    </xdr:to>
    <xdr:sp macro="" textlink="Formeln!AX26">
      <xdr:nvSpPr>
        <xdr:cNvPr id="221" name="Textfeld 220"/>
        <xdr:cNvSpPr txBox="1"/>
      </xdr:nvSpPr>
      <xdr:spPr>
        <a:xfrm>
          <a:off x="9258188" y="82330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A0AA02B1-C738-4B55-ABDE-89483FA5F134}"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2</xdr:col>
      <xdr:colOff>2085863</xdr:colOff>
      <xdr:row>5</xdr:row>
      <xdr:rowOff>2403728</xdr:rowOff>
    </xdr:from>
    <xdr:to>
      <xdr:col>2</xdr:col>
      <xdr:colOff>2530752</xdr:colOff>
      <xdr:row>5</xdr:row>
      <xdr:rowOff>2628484</xdr:rowOff>
    </xdr:to>
    <xdr:sp macro="" textlink="Formeln!AY26">
      <xdr:nvSpPr>
        <xdr:cNvPr id="222" name="Textfeld 221"/>
        <xdr:cNvSpPr txBox="1"/>
      </xdr:nvSpPr>
      <xdr:spPr>
        <a:xfrm>
          <a:off x="8924813" y="82330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2F344EF-AC2B-4E27-8BAF-C031A7A8761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2</xdr:col>
      <xdr:colOff>1257188</xdr:colOff>
      <xdr:row>5</xdr:row>
      <xdr:rowOff>2403728</xdr:rowOff>
    </xdr:from>
    <xdr:to>
      <xdr:col>2</xdr:col>
      <xdr:colOff>1702077</xdr:colOff>
      <xdr:row>5</xdr:row>
      <xdr:rowOff>2628484</xdr:rowOff>
    </xdr:to>
    <xdr:sp macro="" textlink="Formeln!AZ26">
      <xdr:nvSpPr>
        <xdr:cNvPr id="223" name="Textfeld 222"/>
        <xdr:cNvSpPr txBox="1"/>
      </xdr:nvSpPr>
      <xdr:spPr>
        <a:xfrm>
          <a:off x="8096138" y="82330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C8A5A48-4BD5-486F-9A27-0C0F2E0E1499}"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2</xdr:col>
      <xdr:colOff>1019063</xdr:colOff>
      <xdr:row>5</xdr:row>
      <xdr:rowOff>2403728</xdr:rowOff>
    </xdr:from>
    <xdr:to>
      <xdr:col>2</xdr:col>
      <xdr:colOff>1463952</xdr:colOff>
      <xdr:row>5</xdr:row>
      <xdr:rowOff>2628484</xdr:rowOff>
    </xdr:to>
    <xdr:sp macro="" textlink="Formeln!BA26">
      <xdr:nvSpPr>
        <xdr:cNvPr id="224" name="Textfeld 223"/>
        <xdr:cNvSpPr txBox="1"/>
      </xdr:nvSpPr>
      <xdr:spPr>
        <a:xfrm>
          <a:off x="7858013" y="82330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7EA715A-2A91-4AD1-B0BB-4D06DAAFEB60}"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2</xdr:col>
      <xdr:colOff>723788</xdr:colOff>
      <xdr:row>5</xdr:row>
      <xdr:rowOff>2403728</xdr:rowOff>
    </xdr:from>
    <xdr:to>
      <xdr:col>2</xdr:col>
      <xdr:colOff>1168677</xdr:colOff>
      <xdr:row>5</xdr:row>
      <xdr:rowOff>2628484</xdr:rowOff>
    </xdr:to>
    <xdr:sp macro="" textlink="Formeln!BB26">
      <xdr:nvSpPr>
        <xdr:cNvPr id="225" name="Textfeld 224"/>
        <xdr:cNvSpPr txBox="1"/>
      </xdr:nvSpPr>
      <xdr:spPr>
        <a:xfrm>
          <a:off x="7562738" y="82330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3BCFECA3-7921-4113-A2B9-4F1005689399}"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2</xdr:col>
      <xdr:colOff>2428763</xdr:colOff>
      <xdr:row>5</xdr:row>
      <xdr:rowOff>2013203</xdr:rowOff>
    </xdr:from>
    <xdr:to>
      <xdr:col>2</xdr:col>
      <xdr:colOff>2873652</xdr:colOff>
      <xdr:row>5</xdr:row>
      <xdr:rowOff>2237959</xdr:rowOff>
    </xdr:to>
    <xdr:sp macro="" textlink="Formeln!AX27">
      <xdr:nvSpPr>
        <xdr:cNvPr id="226" name="Textfeld 225"/>
        <xdr:cNvSpPr txBox="1"/>
      </xdr:nvSpPr>
      <xdr:spPr>
        <a:xfrm>
          <a:off x="9267713" y="78425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50EA12A0-B2D5-4A62-8053-097ED003B030}"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2066813</xdr:colOff>
      <xdr:row>5</xdr:row>
      <xdr:rowOff>2013203</xdr:rowOff>
    </xdr:from>
    <xdr:to>
      <xdr:col>2</xdr:col>
      <xdr:colOff>2511702</xdr:colOff>
      <xdr:row>5</xdr:row>
      <xdr:rowOff>2237959</xdr:rowOff>
    </xdr:to>
    <xdr:sp macro="" textlink="Formeln!AY27">
      <xdr:nvSpPr>
        <xdr:cNvPr id="227" name="Textfeld 226"/>
        <xdr:cNvSpPr txBox="1"/>
      </xdr:nvSpPr>
      <xdr:spPr>
        <a:xfrm>
          <a:off x="8905763" y="78425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01B5C70-BD32-4A2B-977A-566F44AE3F97}"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1266713</xdr:colOff>
      <xdr:row>5</xdr:row>
      <xdr:rowOff>2013203</xdr:rowOff>
    </xdr:from>
    <xdr:to>
      <xdr:col>2</xdr:col>
      <xdr:colOff>1711602</xdr:colOff>
      <xdr:row>5</xdr:row>
      <xdr:rowOff>2237959</xdr:rowOff>
    </xdr:to>
    <xdr:sp macro="" textlink="Formeln!AZ27">
      <xdr:nvSpPr>
        <xdr:cNvPr id="228" name="Textfeld 227"/>
        <xdr:cNvSpPr txBox="1"/>
      </xdr:nvSpPr>
      <xdr:spPr>
        <a:xfrm>
          <a:off x="8105663" y="78425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2D10635E-ADCD-4DAE-9E3C-5B0D7B02E022}"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1028588</xdr:colOff>
      <xdr:row>5</xdr:row>
      <xdr:rowOff>2013203</xdr:rowOff>
    </xdr:from>
    <xdr:to>
      <xdr:col>2</xdr:col>
      <xdr:colOff>1473477</xdr:colOff>
      <xdr:row>5</xdr:row>
      <xdr:rowOff>2237959</xdr:rowOff>
    </xdr:to>
    <xdr:sp macro="" textlink="Formeln!BA27">
      <xdr:nvSpPr>
        <xdr:cNvPr id="229" name="Textfeld 228"/>
        <xdr:cNvSpPr txBox="1"/>
      </xdr:nvSpPr>
      <xdr:spPr>
        <a:xfrm>
          <a:off x="7867538" y="78425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42E8812A-0D05-49CF-AA9E-754A10390693}"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733313</xdr:colOff>
      <xdr:row>5</xdr:row>
      <xdr:rowOff>2013203</xdr:rowOff>
    </xdr:from>
    <xdr:to>
      <xdr:col>2</xdr:col>
      <xdr:colOff>1178202</xdr:colOff>
      <xdr:row>5</xdr:row>
      <xdr:rowOff>2237959</xdr:rowOff>
    </xdr:to>
    <xdr:sp macro="" textlink="Formeln!BB27">
      <xdr:nvSpPr>
        <xdr:cNvPr id="230" name="Textfeld 229"/>
        <xdr:cNvSpPr txBox="1"/>
      </xdr:nvSpPr>
      <xdr:spPr>
        <a:xfrm>
          <a:off x="7572263" y="78425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F042A290-8CC5-4172-BB76-3CBAD8503C35}"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2</xdr:col>
      <xdr:colOff>2885963</xdr:colOff>
      <xdr:row>5</xdr:row>
      <xdr:rowOff>2613278</xdr:rowOff>
    </xdr:from>
    <xdr:to>
      <xdr:col>2</xdr:col>
      <xdr:colOff>3330852</xdr:colOff>
      <xdr:row>5</xdr:row>
      <xdr:rowOff>2838034</xdr:rowOff>
    </xdr:to>
    <xdr:sp macro="" textlink="VIONARO!I32">
      <xdr:nvSpPr>
        <xdr:cNvPr id="231" name="Textfeld 230"/>
        <xdr:cNvSpPr txBox="1"/>
      </xdr:nvSpPr>
      <xdr:spPr>
        <a:xfrm>
          <a:off x="9724913" y="84425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D5AF077-420E-4E95-8EA5-8C7623DD414A}" type="TxLink">
            <a:rPr lang="en-US" sz="900" b="0" i="0" u="none" strike="noStrike">
              <a:solidFill>
                <a:srgbClr val="000000"/>
              </a:solidFill>
              <a:latin typeface="Calibri"/>
              <a:ea typeface="Verdana"/>
              <a:cs typeface="Calibri"/>
            </a:rPr>
            <a:pPr algn="l"/>
            <a:t>587</a:t>
          </a:fld>
          <a:endParaRPr lang="de-AT" sz="1100">
            <a:solidFill>
              <a:sysClr val="windowText" lastClr="000000"/>
            </a:solidFill>
          </a:endParaRPr>
        </a:p>
      </xdr:txBody>
    </xdr:sp>
    <xdr:clientData/>
  </xdr:twoCellAnchor>
  <xdr:twoCellAnchor>
    <xdr:from>
      <xdr:col>2</xdr:col>
      <xdr:colOff>2885963</xdr:colOff>
      <xdr:row>5</xdr:row>
      <xdr:rowOff>2251328</xdr:rowOff>
    </xdr:from>
    <xdr:to>
      <xdr:col>2</xdr:col>
      <xdr:colOff>3330852</xdr:colOff>
      <xdr:row>5</xdr:row>
      <xdr:rowOff>2476084</xdr:rowOff>
    </xdr:to>
    <xdr:sp macro="" textlink="VIONARO!J32">
      <xdr:nvSpPr>
        <xdr:cNvPr id="232" name="Textfeld 231"/>
        <xdr:cNvSpPr txBox="1"/>
      </xdr:nvSpPr>
      <xdr:spPr>
        <a:xfrm>
          <a:off x="9724913" y="80806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0B807898-FDC2-4831-8C51-BD80C6075785}"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2</xdr:col>
      <xdr:colOff>2428763</xdr:colOff>
      <xdr:row>5</xdr:row>
      <xdr:rowOff>1136903</xdr:rowOff>
    </xdr:from>
    <xdr:to>
      <xdr:col>2</xdr:col>
      <xdr:colOff>2873652</xdr:colOff>
      <xdr:row>5</xdr:row>
      <xdr:rowOff>1361659</xdr:rowOff>
    </xdr:to>
    <xdr:sp macro="" textlink="Formeln!AX34">
      <xdr:nvSpPr>
        <xdr:cNvPr id="233" name="Textfeld 232"/>
        <xdr:cNvSpPr txBox="1"/>
      </xdr:nvSpPr>
      <xdr:spPr>
        <a:xfrm>
          <a:off x="9267713" y="69662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952A3CA0-EE61-4F3A-BA26-0A484646FF6A}"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2095388</xdr:colOff>
      <xdr:row>5</xdr:row>
      <xdr:rowOff>1136903</xdr:rowOff>
    </xdr:from>
    <xdr:to>
      <xdr:col>2</xdr:col>
      <xdr:colOff>2540277</xdr:colOff>
      <xdr:row>5</xdr:row>
      <xdr:rowOff>1361659</xdr:rowOff>
    </xdr:to>
    <xdr:sp macro="" textlink="Formeln!AY34">
      <xdr:nvSpPr>
        <xdr:cNvPr id="234" name="Textfeld 233"/>
        <xdr:cNvSpPr txBox="1"/>
      </xdr:nvSpPr>
      <xdr:spPr>
        <a:xfrm>
          <a:off x="8934338" y="69662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75F4E10E-4A9A-43D0-908D-7E23ACA1C620}"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1266713</xdr:colOff>
      <xdr:row>5</xdr:row>
      <xdr:rowOff>1136903</xdr:rowOff>
    </xdr:from>
    <xdr:to>
      <xdr:col>2</xdr:col>
      <xdr:colOff>1711602</xdr:colOff>
      <xdr:row>5</xdr:row>
      <xdr:rowOff>1361659</xdr:rowOff>
    </xdr:to>
    <xdr:sp macro="" textlink="Formeln!AZ34">
      <xdr:nvSpPr>
        <xdr:cNvPr id="235" name="Textfeld 234"/>
        <xdr:cNvSpPr txBox="1"/>
      </xdr:nvSpPr>
      <xdr:spPr>
        <a:xfrm>
          <a:off x="8105663" y="69662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39E31D24-92BA-490D-9D40-9A3A305F65BF}"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1028588</xdr:colOff>
      <xdr:row>5</xdr:row>
      <xdr:rowOff>1136903</xdr:rowOff>
    </xdr:from>
    <xdr:to>
      <xdr:col>2</xdr:col>
      <xdr:colOff>1473477</xdr:colOff>
      <xdr:row>5</xdr:row>
      <xdr:rowOff>1361659</xdr:rowOff>
    </xdr:to>
    <xdr:sp macro="" textlink="Formeln!BA34">
      <xdr:nvSpPr>
        <xdr:cNvPr id="236" name="Textfeld 235"/>
        <xdr:cNvSpPr txBox="1"/>
      </xdr:nvSpPr>
      <xdr:spPr>
        <a:xfrm>
          <a:off x="7867538" y="69662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456B03D3-B21B-4486-A3B1-1B0A0F1AC758}"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733313</xdr:colOff>
      <xdr:row>5</xdr:row>
      <xdr:rowOff>1136903</xdr:rowOff>
    </xdr:from>
    <xdr:to>
      <xdr:col>2</xdr:col>
      <xdr:colOff>1178202</xdr:colOff>
      <xdr:row>5</xdr:row>
      <xdr:rowOff>1361659</xdr:rowOff>
    </xdr:to>
    <xdr:sp macro="" textlink="Formeln!BB34">
      <xdr:nvSpPr>
        <xdr:cNvPr id="237" name="Textfeld 236"/>
        <xdr:cNvSpPr txBox="1"/>
      </xdr:nvSpPr>
      <xdr:spPr>
        <a:xfrm>
          <a:off x="7572263" y="69662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0EBA5B8-F493-4727-AC49-AFAEC12FE62A}"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2</xdr:col>
      <xdr:colOff>2438288</xdr:colOff>
      <xdr:row>5</xdr:row>
      <xdr:rowOff>746378</xdr:rowOff>
    </xdr:from>
    <xdr:to>
      <xdr:col>2</xdr:col>
      <xdr:colOff>2883177</xdr:colOff>
      <xdr:row>5</xdr:row>
      <xdr:rowOff>971134</xdr:rowOff>
    </xdr:to>
    <xdr:sp macro="" textlink="Formeln!AX35">
      <xdr:nvSpPr>
        <xdr:cNvPr id="238" name="Textfeld 237"/>
        <xdr:cNvSpPr txBox="1"/>
      </xdr:nvSpPr>
      <xdr:spPr>
        <a:xfrm>
          <a:off x="9277238" y="65756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0F239480-C60F-4A03-9BEF-D8FDA9B7A848}"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2076338</xdr:colOff>
      <xdr:row>5</xdr:row>
      <xdr:rowOff>746378</xdr:rowOff>
    </xdr:from>
    <xdr:to>
      <xdr:col>2</xdr:col>
      <xdr:colOff>2521227</xdr:colOff>
      <xdr:row>5</xdr:row>
      <xdr:rowOff>971134</xdr:rowOff>
    </xdr:to>
    <xdr:sp macro="" textlink="Formeln!AY35">
      <xdr:nvSpPr>
        <xdr:cNvPr id="239" name="Textfeld 238"/>
        <xdr:cNvSpPr txBox="1"/>
      </xdr:nvSpPr>
      <xdr:spPr>
        <a:xfrm>
          <a:off x="8915288" y="65756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ED3BF718-6CB8-4770-9353-9320524FFACF}"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1276238</xdr:colOff>
      <xdr:row>5</xdr:row>
      <xdr:rowOff>746378</xdr:rowOff>
    </xdr:from>
    <xdr:to>
      <xdr:col>2</xdr:col>
      <xdr:colOff>1721127</xdr:colOff>
      <xdr:row>5</xdr:row>
      <xdr:rowOff>971134</xdr:rowOff>
    </xdr:to>
    <xdr:sp macro="" textlink="Formeln!AZ35">
      <xdr:nvSpPr>
        <xdr:cNvPr id="240" name="Textfeld 239"/>
        <xdr:cNvSpPr txBox="1"/>
      </xdr:nvSpPr>
      <xdr:spPr>
        <a:xfrm>
          <a:off x="8115188" y="65756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914B8436-9A8F-4C28-BCF0-E8F7076D2D07}"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1038113</xdr:colOff>
      <xdr:row>5</xdr:row>
      <xdr:rowOff>746378</xdr:rowOff>
    </xdr:from>
    <xdr:to>
      <xdr:col>2</xdr:col>
      <xdr:colOff>1483002</xdr:colOff>
      <xdr:row>5</xdr:row>
      <xdr:rowOff>971134</xdr:rowOff>
    </xdr:to>
    <xdr:sp macro="" textlink="Formeln!BA35">
      <xdr:nvSpPr>
        <xdr:cNvPr id="241" name="Textfeld 240"/>
        <xdr:cNvSpPr txBox="1"/>
      </xdr:nvSpPr>
      <xdr:spPr>
        <a:xfrm>
          <a:off x="7877063" y="65756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25C65B2-F3B7-4A21-8D95-AB86568B629E}"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2</xdr:col>
      <xdr:colOff>742838</xdr:colOff>
      <xdr:row>5</xdr:row>
      <xdr:rowOff>746378</xdr:rowOff>
    </xdr:from>
    <xdr:to>
      <xdr:col>2</xdr:col>
      <xdr:colOff>1187727</xdr:colOff>
      <xdr:row>5</xdr:row>
      <xdr:rowOff>971134</xdr:rowOff>
    </xdr:to>
    <xdr:sp macro="" textlink="Formeln!BB35">
      <xdr:nvSpPr>
        <xdr:cNvPr id="242" name="Textfeld 241"/>
        <xdr:cNvSpPr txBox="1"/>
      </xdr:nvSpPr>
      <xdr:spPr>
        <a:xfrm>
          <a:off x="7581788" y="65756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BF0780B4-2CD4-4CC7-895F-DC01369CB560}"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2</xdr:col>
      <xdr:colOff>2895488</xdr:colOff>
      <xdr:row>5</xdr:row>
      <xdr:rowOff>1336928</xdr:rowOff>
    </xdr:from>
    <xdr:to>
      <xdr:col>2</xdr:col>
      <xdr:colOff>3340377</xdr:colOff>
      <xdr:row>5</xdr:row>
      <xdr:rowOff>1561684</xdr:rowOff>
    </xdr:to>
    <xdr:sp macro="" textlink="VIONARO!I33">
      <xdr:nvSpPr>
        <xdr:cNvPr id="243" name="Textfeld 242"/>
        <xdr:cNvSpPr txBox="1"/>
      </xdr:nvSpPr>
      <xdr:spPr>
        <a:xfrm>
          <a:off x="9734438" y="71662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22DC4FE-7620-4A5A-AC22-7210B5FBC258}"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2</xdr:col>
      <xdr:colOff>2895488</xdr:colOff>
      <xdr:row>5</xdr:row>
      <xdr:rowOff>974978</xdr:rowOff>
    </xdr:from>
    <xdr:to>
      <xdr:col>2</xdr:col>
      <xdr:colOff>3340377</xdr:colOff>
      <xdr:row>5</xdr:row>
      <xdr:rowOff>1199734</xdr:rowOff>
    </xdr:to>
    <xdr:sp macro="" textlink="VIONARO!J33">
      <xdr:nvSpPr>
        <xdr:cNvPr id="244" name="Textfeld 243"/>
        <xdr:cNvSpPr txBox="1"/>
      </xdr:nvSpPr>
      <xdr:spPr>
        <a:xfrm>
          <a:off x="9734438" y="68042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C0C63E3-2335-4062-8CB4-00F55A6CC20B}"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editAs="oneCell">
    <xdr:from>
      <xdr:col>3</xdr:col>
      <xdr:colOff>18625</xdr:colOff>
      <xdr:row>5</xdr:row>
      <xdr:rowOff>19049</xdr:rowOff>
    </xdr:from>
    <xdr:to>
      <xdr:col>3</xdr:col>
      <xdr:colOff>3409950</xdr:colOff>
      <xdr:row>5</xdr:row>
      <xdr:rowOff>4537462</xdr:rowOff>
    </xdr:to>
    <xdr:pic>
      <xdr:nvPicPr>
        <xdr:cNvPr id="58" name="Grafik 57"/>
        <xdr:cNvPicPr>
          <a:picLocks noChangeAspect="1"/>
        </xdr:cNvPicPr>
      </xdr:nvPicPr>
      <xdr:blipFill>
        <a:blip xmlns:r="http://schemas.openxmlformats.org/officeDocument/2006/relationships" r:embed="rId19"/>
        <a:stretch>
          <a:fillRect/>
        </a:stretch>
      </xdr:blipFill>
      <xdr:spPr>
        <a:xfrm>
          <a:off x="10277050" y="5848349"/>
          <a:ext cx="3391325" cy="4518413"/>
        </a:xfrm>
        <a:prstGeom prst="rect">
          <a:avLst/>
        </a:prstGeom>
      </xdr:spPr>
    </xdr:pic>
    <xdr:clientData/>
  </xdr:twoCellAnchor>
  <xdr:twoCellAnchor>
    <xdr:from>
      <xdr:col>3</xdr:col>
      <xdr:colOff>2959679</xdr:colOff>
      <xdr:row>5</xdr:row>
      <xdr:rowOff>4159227</xdr:rowOff>
    </xdr:from>
    <xdr:to>
      <xdr:col>3</xdr:col>
      <xdr:colOff>3404568</xdr:colOff>
      <xdr:row>5</xdr:row>
      <xdr:rowOff>4383983</xdr:rowOff>
    </xdr:to>
    <xdr:sp macro="" textlink="VIONARO!I6">
      <xdr:nvSpPr>
        <xdr:cNvPr id="245" name="Textfeld 244"/>
        <xdr:cNvSpPr txBox="1"/>
      </xdr:nvSpPr>
      <xdr:spPr>
        <a:xfrm>
          <a:off x="13218104" y="9988527"/>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CFF76D6-3C38-4F21-8319-EBB7D05E7B0C}" type="TxLink">
            <a:rPr lang="en-US" sz="800" b="0" i="0" u="none" strike="noStrike">
              <a:solidFill>
                <a:srgbClr val="000000"/>
              </a:solidFill>
              <a:latin typeface="Calibri"/>
              <a:ea typeface="Verdana"/>
              <a:cs typeface="Calibri"/>
            </a:rPr>
            <a:pPr algn="l"/>
            <a:t>18</a:t>
          </a:fld>
          <a:endParaRPr lang="de-AT" sz="1100">
            <a:solidFill>
              <a:sysClr val="windowText" lastClr="000000"/>
            </a:solidFill>
          </a:endParaRPr>
        </a:p>
      </xdr:txBody>
    </xdr:sp>
    <xdr:clientData/>
  </xdr:twoCellAnchor>
  <xdr:twoCellAnchor>
    <xdr:from>
      <xdr:col>3</xdr:col>
      <xdr:colOff>2889691</xdr:colOff>
      <xdr:row>5</xdr:row>
      <xdr:rowOff>3903295</xdr:rowOff>
    </xdr:from>
    <xdr:to>
      <xdr:col>3</xdr:col>
      <xdr:colOff>3334580</xdr:colOff>
      <xdr:row>5</xdr:row>
      <xdr:rowOff>4128051</xdr:rowOff>
    </xdr:to>
    <xdr:sp macro="" textlink="VIONARO!I31">
      <xdr:nvSpPr>
        <xdr:cNvPr id="246" name="Textfeld 245"/>
        <xdr:cNvSpPr txBox="1"/>
      </xdr:nvSpPr>
      <xdr:spPr>
        <a:xfrm>
          <a:off x="13148116" y="9732595"/>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7E9E207-65B6-49FA-B101-264933117619}" type="TxLink">
            <a:rPr lang="en-US" sz="900" b="0" i="0" u="none" strike="noStrike">
              <a:solidFill>
                <a:srgbClr val="000000"/>
              </a:solidFill>
              <a:latin typeface="Calibri"/>
              <a:ea typeface="Verdana"/>
              <a:cs typeface="Calibri"/>
            </a:rPr>
            <a:pPr algn="l"/>
            <a:t>37</a:t>
          </a:fld>
          <a:endParaRPr lang="de-AT" sz="1100">
            <a:solidFill>
              <a:sysClr val="windowText" lastClr="000000"/>
            </a:solidFill>
          </a:endParaRPr>
        </a:p>
      </xdr:txBody>
    </xdr:sp>
    <xdr:clientData/>
  </xdr:twoCellAnchor>
  <xdr:twoCellAnchor>
    <xdr:from>
      <xdr:col>3</xdr:col>
      <xdr:colOff>2895488</xdr:colOff>
      <xdr:row>5</xdr:row>
      <xdr:rowOff>3537203</xdr:rowOff>
    </xdr:from>
    <xdr:to>
      <xdr:col>3</xdr:col>
      <xdr:colOff>3340377</xdr:colOff>
      <xdr:row>5</xdr:row>
      <xdr:rowOff>3761959</xdr:rowOff>
    </xdr:to>
    <xdr:sp macro="" textlink="VIONARO!J31">
      <xdr:nvSpPr>
        <xdr:cNvPr id="247" name="Textfeld 246"/>
        <xdr:cNvSpPr txBox="1"/>
      </xdr:nvSpPr>
      <xdr:spPr>
        <a:xfrm>
          <a:off x="13153913" y="93665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7620465-EB75-4432-B83C-C6E16173EB9B}" type="TxLink">
            <a:rPr lang="en-US" sz="900" b="0" i="0" u="none" strike="noStrike">
              <a:solidFill>
                <a:srgbClr val="000000"/>
              </a:solidFill>
              <a:latin typeface="Calibri"/>
              <a:ea typeface="Verdana"/>
              <a:cs typeface="Calibri"/>
            </a:rPr>
            <a:pPr algn="l"/>
            <a:t>250</a:t>
          </a:fld>
          <a:endParaRPr lang="de-AT" sz="1100">
            <a:solidFill>
              <a:sysClr val="windowText" lastClr="000000"/>
            </a:solidFill>
          </a:endParaRPr>
        </a:p>
      </xdr:txBody>
    </xdr:sp>
    <xdr:clientData/>
  </xdr:twoCellAnchor>
  <xdr:twoCellAnchor>
    <xdr:from>
      <xdr:col>3</xdr:col>
      <xdr:colOff>2409713</xdr:colOff>
      <xdr:row>5</xdr:row>
      <xdr:rowOff>3689603</xdr:rowOff>
    </xdr:from>
    <xdr:to>
      <xdr:col>3</xdr:col>
      <xdr:colOff>2854602</xdr:colOff>
      <xdr:row>5</xdr:row>
      <xdr:rowOff>3914359</xdr:rowOff>
    </xdr:to>
    <xdr:sp macro="" textlink="Formeln!AX18">
      <xdr:nvSpPr>
        <xdr:cNvPr id="248" name="Textfeld 247"/>
        <xdr:cNvSpPr txBox="1"/>
      </xdr:nvSpPr>
      <xdr:spPr>
        <a:xfrm>
          <a:off x="12668138" y="95189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FB73D35-103B-4FE9-A303-51F1CD7F538B}"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3</xdr:col>
      <xdr:colOff>2085863</xdr:colOff>
      <xdr:row>5</xdr:row>
      <xdr:rowOff>3680078</xdr:rowOff>
    </xdr:from>
    <xdr:to>
      <xdr:col>3</xdr:col>
      <xdr:colOff>2530752</xdr:colOff>
      <xdr:row>5</xdr:row>
      <xdr:rowOff>3904834</xdr:rowOff>
    </xdr:to>
    <xdr:sp macro="" textlink="Formeln!AY18">
      <xdr:nvSpPr>
        <xdr:cNvPr id="249" name="Textfeld 248"/>
        <xdr:cNvSpPr txBox="1"/>
      </xdr:nvSpPr>
      <xdr:spPr>
        <a:xfrm>
          <a:off x="12344288" y="95093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8A05BBF-D87F-450E-9DCB-9ACE7DC182E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3</xdr:col>
      <xdr:colOff>1247663</xdr:colOff>
      <xdr:row>5</xdr:row>
      <xdr:rowOff>3689603</xdr:rowOff>
    </xdr:from>
    <xdr:to>
      <xdr:col>3</xdr:col>
      <xdr:colOff>1692552</xdr:colOff>
      <xdr:row>5</xdr:row>
      <xdr:rowOff>3914359</xdr:rowOff>
    </xdr:to>
    <xdr:sp macro="" textlink="Formeln!AZ18">
      <xdr:nvSpPr>
        <xdr:cNvPr id="250" name="Textfeld 249"/>
        <xdr:cNvSpPr txBox="1"/>
      </xdr:nvSpPr>
      <xdr:spPr>
        <a:xfrm>
          <a:off x="11506088" y="95189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6232700-93DA-46AC-AF64-C44D0B228D0D}"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3</xdr:col>
      <xdr:colOff>1009538</xdr:colOff>
      <xdr:row>5</xdr:row>
      <xdr:rowOff>3689603</xdr:rowOff>
    </xdr:from>
    <xdr:to>
      <xdr:col>3</xdr:col>
      <xdr:colOff>1454427</xdr:colOff>
      <xdr:row>5</xdr:row>
      <xdr:rowOff>3914359</xdr:rowOff>
    </xdr:to>
    <xdr:sp macro="" textlink="Formeln!BA18">
      <xdr:nvSpPr>
        <xdr:cNvPr id="251" name="Textfeld 250"/>
        <xdr:cNvSpPr txBox="1"/>
      </xdr:nvSpPr>
      <xdr:spPr>
        <a:xfrm>
          <a:off x="11267963" y="95189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2B1E5D8-E3B7-4F4C-82EC-8C6BBF97D3F3}"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3</xdr:col>
      <xdr:colOff>714263</xdr:colOff>
      <xdr:row>5</xdr:row>
      <xdr:rowOff>3689603</xdr:rowOff>
    </xdr:from>
    <xdr:to>
      <xdr:col>3</xdr:col>
      <xdr:colOff>1159152</xdr:colOff>
      <xdr:row>5</xdr:row>
      <xdr:rowOff>3914359</xdr:rowOff>
    </xdr:to>
    <xdr:sp macro="" textlink="Formeln!BB18">
      <xdr:nvSpPr>
        <xdr:cNvPr id="252" name="Textfeld 251"/>
        <xdr:cNvSpPr txBox="1"/>
      </xdr:nvSpPr>
      <xdr:spPr>
        <a:xfrm>
          <a:off x="10972688" y="95189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A973AF-14A6-4655-9DE1-F08CC9C5465D}"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2419238</xdr:colOff>
      <xdr:row>5</xdr:row>
      <xdr:rowOff>3327653</xdr:rowOff>
    </xdr:from>
    <xdr:to>
      <xdr:col>3</xdr:col>
      <xdr:colOff>2864127</xdr:colOff>
      <xdr:row>5</xdr:row>
      <xdr:rowOff>3552409</xdr:rowOff>
    </xdr:to>
    <xdr:sp macro="" textlink="Formeln!AX19">
      <xdr:nvSpPr>
        <xdr:cNvPr id="253" name="Textfeld 252"/>
        <xdr:cNvSpPr txBox="1"/>
      </xdr:nvSpPr>
      <xdr:spPr>
        <a:xfrm>
          <a:off x="12677663" y="9156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D10AE02-B837-4105-A788-5442C22B7DA0}"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3</xdr:col>
      <xdr:colOff>2057288</xdr:colOff>
      <xdr:row>5</xdr:row>
      <xdr:rowOff>3327653</xdr:rowOff>
    </xdr:from>
    <xdr:to>
      <xdr:col>3</xdr:col>
      <xdr:colOff>2502177</xdr:colOff>
      <xdr:row>5</xdr:row>
      <xdr:rowOff>3552409</xdr:rowOff>
    </xdr:to>
    <xdr:sp macro="" textlink="Formeln!AY19">
      <xdr:nvSpPr>
        <xdr:cNvPr id="254" name="Textfeld 253"/>
        <xdr:cNvSpPr txBox="1"/>
      </xdr:nvSpPr>
      <xdr:spPr>
        <a:xfrm>
          <a:off x="12315713" y="9156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FBF0D92-39AE-459C-A0B7-2E21727AA784}"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3</xdr:col>
      <xdr:colOff>1257188</xdr:colOff>
      <xdr:row>5</xdr:row>
      <xdr:rowOff>3327653</xdr:rowOff>
    </xdr:from>
    <xdr:to>
      <xdr:col>3</xdr:col>
      <xdr:colOff>1702077</xdr:colOff>
      <xdr:row>5</xdr:row>
      <xdr:rowOff>3552409</xdr:rowOff>
    </xdr:to>
    <xdr:sp macro="" textlink="Formeln!AZ19">
      <xdr:nvSpPr>
        <xdr:cNvPr id="255" name="Textfeld 254"/>
        <xdr:cNvSpPr txBox="1"/>
      </xdr:nvSpPr>
      <xdr:spPr>
        <a:xfrm>
          <a:off x="11515613" y="9156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5D7BE033-F0A4-4BAA-884C-09B3D0808D9B}" type="TxLink">
            <a:rPr lang="en-US" sz="800" b="1" i="0" u="none" strike="noStrike">
              <a:solidFill>
                <a:srgbClr val="000000"/>
              </a:solidFill>
              <a:latin typeface="Calibri"/>
              <a:ea typeface="Verdana"/>
              <a:cs typeface="Calibri"/>
            </a:rPr>
            <a:pPr algn="l"/>
            <a:t>192</a:t>
          </a:fld>
          <a:endParaRPr lang="de-AT" sz="800" b="1">
            <a:solidFill>
              <a:sysClr val="windowText" lastClr="000000"/>
            </a:solidFill>
          </a:endParaRPr>
        </a:p>
      </xdr:txBody>
    </xdr:sp>
    <xdr:clientData/>
  </xdr:twoCellAnchor>
  <xdr:twoCellAnchor>
    <xdr:from>
      <xdr:col>3</xdr:col>
      <xdr:colOff>1019063</xdr:colOff>
      <xdr:row>5</xdr:row>
      <xdr:rowOff>3327653</xdr:rowOff>
    </xdr:from>
    <xdr:to>
      <xdr:col>3</xdr:col>
      <xdr:colOff>1463952</xdr:colOff>
      <xdr:row>5</xdr:row>
      <xdr:rowOff>3552409</xdr:rowOff>
    </xdr:to>
    <xdr:sp macro="" textlink="Formeln!BA19">
      <xdr:nvSpPr>
        <xdr:cNvPr id="256" name="Textfeld 255"/>
        <xdr:cNvSpPr txBox="1"/>
      </xdr:nvSpPr>
      <xdr:spPr>
        <a:xfrm>
          <a:off x="11277488" y="9156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2A1173F-6D8E-4486-89C9-75CE6D650BA4}" type="TxLink">
            <a:rPr lang="en-US" sz="800" b="1" i="0" u="none" strike="noStrike">
              <a:solidFill>
                <a:srgbClr val="000000"/>
              </a:solidFill>
              <a:latin typeface="Calibri"/>
              <a:ea typeface="Verdana"/>
              <a:cs typeface="Calibri"/>
            </a:rPr>
            <a:pPr algn="l"/>
            <a:t>224</a:t>
          </a:fld>
          <a:endParaRPr lang="de-AT" sz="800" b="1">
            <a:solidFill>
              <a:sysClr val="windowText" lastClr="000000"/>
            </a:solidFill>
          </a:endParaRPr>
        </a:p>
      </xdr:txBody>
    </xdr:sp>
    <xdr:clientData/>
  </xdr:twoCellAnchor>
  <xdr:twoCellAnchor>
    <xdr:from>
      <xdr:col>3</xdr:col>
      <xdr:colOff>723788</xdr:colOff>
      <xdr:row>5</xdr:row>
      <xdr:rowOff>3327653</xdr:rowOff>
    </xdr:from>
    <xdr:to>
      <xdr:col>3</xdr:col>
      <xdr:colOff>1168677</xdr:colOff>
      <xdr:row>5</xdr:row>
      <xdr:rowOff>3552409</xdr:rowOff>
    </xdr:to>
    <xdr:sp macro="" textlink="Formeln!BB19">
      <xdr:nvSpPr>
        <xdr:cNvPr id="257" name="Textfeld 256"/>
        <xdr:cNvSpPr txBox="1"/>
      </xdr:nvSpPr>
      <xdr:spPr>
        <a:xfrm>
          <a:off x="10982213" y="91569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B57EE8-4BBF-432F-9ABA-6DDE0A31C478}"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2428763</xdr:colOff>
      <xdr:row>5</xdr:row>
      <xdr:rowOff>2803778</xdr:rowOff>
    </xdr:from>
    <xdr:to>
      <xdr:col>3</xdr:col>
      <xdr:colOff>2873652</xdr:colOff>
      <xdr:row>5</xdr:row>
      <xdr:rowOff>3028534</xdr:rowOff>
    </xdr:to>
    <xdr:sp macro="" textlink="Formeln!AX26">
      <xdr:nvSpPr>
        <xdr:cNvPr id="258" name="Textfeld 257"/>
        <xdr:cNvSpPr txBox="1"/>
      </xdr:nvSpPr>
      <xdr:spPr>
        <a:xfrm>
          <a:off x="12687188" y="86330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A0AA02B1-C738-4B55-ABDE-89483FA5F134}" type="TxLink">
            <a:rPr lang="en-US" sz="800" b="1" i="0" u="none" strike="noStrike">
              <a:solidFill>
                <a:srgbClr val="000000"/>
              </a:solidFill>
              <a:latin typeface="Calibri"/>
              <a:ea typeface="Verdana"/>
              <a:cs typeface="Calibri"/>
            </a:rPr>
            <a:pPr algn="l"/>
            <a:t>37</a:t>
          </a:fld>
          <a:endParaRPr lang="de-AT" sz="800" b="1">
            <a:solidFill>
              <a:sysClr val="windowText" lastClr="000000"/>
            </a:solidFill>
          </a:endParaRPr>
        </a:p>
      </xdr:txBody>
    </xdr:sp>
    <xdr:clientData/>
  </xdr:twoCellAnchor>
  <xdr:twoCellAnchor>
    <xdr:from>
      <xdr:col>3</xdr:col>
      <xdr:colOff>2085863</xdr:colOff>
      <xdr:row>5</xdr:row>
      <xdr:rowOff>2803778</xdr:rowOff>
    </xdr:from>
    <xdr:to>
      <xdr:col>3</xdr:col>
      <xdr:colOff>2530752</xdr:colOff>
      <xdr:row>5</xdr:row>
      <xdr:rowOff>3028534</xdr:rowOff>
    </xdr:to>
    <xdr:sp macro="" textlink="Formeln!AY26">
      <xdr:nvSpPr>
        <xdr:cNvPr id="259" name="Textfeld 258"/>
        <xdr:cNvSpPr txBox="1"/>
      </xdr:nvSpPr>
      <xdr:spPr>
        <a:xfrm>
          <a:off x="12344288" y="86330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2F344EF-AC2B-4E27-8BAF-C031A7A87612}" type="TxLink">
            <a:rPr lang="en-US" sz="800" b="1" i="0" u="none" strike="noStrike">
              <a:solidFill>
                <a:srgbClr val="000000"/>
              </a:solidFill>
              <a:latin typeface="Calibri"/>
              <a:ea typeface="Verdana"/>
              <a:cs typeface="Calibri"/>
            </a:rPr>
            <a:pPr algn="l"/>
            <a:t>32</a:t>
          </a:fld>
          <a:endParaRPr lang="de-AT" sz="800" b="1">
            <a:solidFill>
              <a:sysClr val="windowText" lastClr="000000"/>
            </a:solidFill>
          </a:endParaRPr>
        </a:p>
      </xdr:txBody>
    </xdr:sp>
    <xdr:clientData/>
  </xdr:twoCellAnchor>
  <xdr:twoCellAnchor>
    <xdr:from>
      <xdr:col>3</xdr:col>
      <xdr:colOff>1266713</xdr:colOff>
      <xdr:row>5</xdr:row>
      <xdr:rowOff>2803778</xdr:rowOff>
    </xdr:from>
    <xdr:to>
      <xdr:col>3</xdr:col>
      <xdr:colOff>1711602</xdr:colOff>
      <xdr:row>5</xdr:row>
      <xdr:rowOff>3028534</xdr:rowOff>
    </xdr:to>
    <xdr:sp macro="" textlink="Formeln!AZ26">
      <xdr:nvSpPr>
        <xdr:cNvPr id="260" name="Textfeld 259"/>
        <xdr:cNvSpPr txBox="1"/>
      </xdr:nvSpPr>
      <xdr:spPr>
        <a:xfrm>
          <a:off x="11525138" y="86330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C8A5A48-4BD5-486F-9A27-0C0F2E0E1499}" type="TxLink">
            <a:rPr lang="en-US" sz="800" b="1" i="0" u="none" strike="noStrike">
              <a:solidFill>
                <a:srgbClr val="000000"/>
              </a:solidFill>
              <a:latin typeface="Calibri"/>
              <a:ea typeface="Verdana"/>
              <a:cs typeface="Calibri"/>
            </a:rPr>
            <a:pPr algn="l"/>
            <a:t>256</a:t>
          </a:fld>
          <a:endParaRPr lang="de-AT" sz="800" b="1">
            <a:solidFill>
              <a:sysClr val="windowText" lastClr="000000"/>
            </a:solidFill>
          </a:endParaRPr>
        </a:p>
      </xdr:txBody>
    </xdr:sp>
    <xdr:clientData/>
  </xdr:twoCellAnchor>
  <xdr:twoCellAnchor>
    <xdr:from>
      <xdr:col>3</xdr:col>
      <xdr:colOff>1028588</xdr:colOff>
      <xdr:row>5</xdr:row>
      <xdr:rowOff>2803778</xdr:rowOff>
    </xdr:from>
    <xdr:to>
      <xdr:col>3</xdr:col>
      <xdr:colOff>1473477</xdr:colOff>
      <xdr:row>5</xdr:row>
      <xdr:rowOff>3028534</xdr:rowOff>
    </xdr:to>
    <xdr:sp macro="" textlink="Formeln!BA26">
      <xdr:nvSpPr>
        <xdr:cNvPr id="261" name="Textfeld 260"/>
        <xdr:cNvSpPr txBox="1"/>
      </xdr:nvSpPr>
      <xdr:spPr>
        <a:xfrm>
          <a:off x="11287013" y="86330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7EA715A-2A91-4AD1-B0BB-4D06DAAFEB60}" type="TxLink">
            <a:rPr lang="en-US" sz="800" b="1" i="0" u="none" strike="noStrike">
              <a:solidFill>
                <a:srgbClr val="000000"/>
              </a:solidFill>
              <a:latin typeface="Calibri"/>
              <a:ea typeface="Verdana"/>
              <a:cs typeface="Calibri"/>
            </a:rPr>
            <a:pPr algn="l"/>
            <a:t>288</a:t>
          </a:fld>
          <a:endParaRPr lang="de-AT" sz="800" b="1">
            <a:solidFill>
              <a:sysClr val="windowText" lastClr="000000"/>
            </a:solidFill>
          </a:endParaRPr>
        </a:p>
      </xdr:txBody>
    </xdr:sp>
    <xdr:clientData/>
  </xdr:twoCellAnchor>
  <xdr:twoCellAnchor>
    <xdr:from>
      <xdr:col>3</xdr:col>
      <xdr:colOff>733313</xdr:colOff>
      <xdr:row>5</xdr:row>
      <xdr:rowOff>2803778</xdr:rowOff>
    </xdr:from>
    <xdr:to>
      <xdr:col>3</xdr:col>
      <xdr:colOff>1178202</xdr:colOff>
      <xdr:row>5</xdr:row>
      <xdr:rowOff>3028534</xdr:rowOff>
    </xdr:to>
    <xdr:sp macro="" textlink="Formeln!BB26">
      <xdr:nvSpPr>
        <xdr:cNvPr id="262" name="Textfeld 261"/>
        <xdr:cNvSpPr txBox="1"/>
      </xdr:nvSpPr>
      <xdr:spPr>
        <a:xfrm>
          <a:off x="10991738" y="86330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3BCFECA3-7921-4113-A2B9-4F1005689399}"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2438288</xdr:colOff>
      <xdr:row>5</xdr:row>
      <xdr:rowOff>2441828</xdr:rowOff>
    </xdr:from>
    <xdr:to>
      <xdr:col>3</xdr:col>
      <xdr:colOff>2883177</xdr:colOff>
      <xdr:row>5</xdr:row>
      <xdr:rowOff>2666584</xdr:rowOff>
    </xdr:to>
    <xdr:sp macro="" textlink="Formeln!AX27">
      <xdr:nvSpPr>
        <xdr:cNvPr id="263" name="Textfeld 262"/>
        <xdr:cNvSpPr txBox="1"/>
      </xdr:nvSpPr>
      <xdr:spPr>
        <a:xfrm>
          <a:off x="12696713" y="82711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50EA12A0-B2D5-4A62-8053-097ED003B030}"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2076338</xdr:colOff>
      <xdr:row>5</xdr:row>
      <xdr:rowOff>2441828</xdr:rowOff>
    </xdr:from>
    <xdr:to>
      <xdr:col>3</xdr:col>
      <xdr:colOff>2521227</xdr:colOff>
      <xdr:row>5</xdr:row>
      <xdr:rowOff>2666584</xdr:rowOff>
    </xdr:to>
    <xdr:sp macro="" textlink="Formeln!AY27">
      <xdr:nvSpPr>
        <xdr:cNvPr id="264" name="Textfeld 263"/>
        <xdr:cNvSpPr txBox="1"/>
      </xdr:nvSpPr>
      <xdr:spPr>
        <a:xfrm>
          <a:off x="12334763" y="82711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01B5C70-BD32-4A2B-977A-566F44AE3F97}"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1276238</xdr:colOff>
      <xdr:row>5</xdr:row>
      <xdr:rowOff>2441828</xdr:rowOff>
    </xdr:from>
    <xdr:to>
      <xdr:col>3</xdr:col>
      <xdr:colOff>1721127</xdr:colOff>
      <xdr:row>5</xdr:row>
      <xdr:rowOff>2666584</xdr:rowOff>
    </xdr:to>
    <xdr:sp macro="" textlink="Formeln!AZ27">
      <xdr:nvSpPr>
        <xdr:cNvPr id="265" name="Textfeld 264"/>
        <xdr:cNvSpPr txBox="1"/>
      </xdr:nvSpPr>
      <xdr:spPr>
        <a:xfrm>
          <a:off x="11534663" y="82711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2D10635E-ADCD-4DAE-9E3C-5B0D7B02E022}"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1038113</xdr:colOff>
      <xdr:row>5</xdr:row>
      <xdr:rowOff>2441828</xdr:rowOff>
    </xdr:from>
    <xdr:to>
      <xdr:col>3</xdr:col>
      <xdr:colOff>1483002</xdr:colOff>
      <xdr:row>5</xdr:row>
      <xdr:rowOff>2666584</xdr:rowOff>
    </xdr:to>
    <xdr:sp macro="" textlink="Formeln!BA27">
      <xdr:nvSpPr>
        <xdr:cNvPr id="266" name="Textfeld 265"/>
        <xdr:cNvSpPr txBox="1"/>
      </xdr:nvSpPr>
      <xdr:spPr>
        <a:xfrm>
          <a:off x="11296538" y="82711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42E8812A-0D05-49CF-AA9E-754A10390693}"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742838</xdr:colOff>
      <xdr:row>5</xdr:row>
      <xdr:rowOff>2441828</xdr:rowOff>
    </xdr:from>
    <xdr:to>
      <xdr:col>3</xdr:col>
      <xdr:colOff>1187727</xdr:colOff>
      <xdr:row>5</xdr:row>
      <xdr:rowOff>2666584</xdr:rowOff>
    </xdr:to>
    <xdr:sp macro="" textlink="Formeln!BB27">
      <xdr:nvSpPr>
        <xdr:cNvPr id="267" name="Textfeld 266"/>
        <xdr:cNvSpPr txBox="1"/>
      </xdr:nvSpPr>
      <xdr:spPr>
        <a:xfrm>
          <a:off x="11001263" y="82711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F042A290-8CC5-4172-BB76-3CBAD8503C35}"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2885963</xdr:colOff>
      <xdr:row>5</xdr:row>
      <xdr:rowOff>3003803</xdr:rowOff>
    </xdr:from>
    <xdr:to>
      <xdr:col>3</xdr:col>
      <xdr:colOff>3330852</xdr:colOff>
      <xdr:row>5</xdr:row>
      <xdr:rowOff>3228559</xdr:rowOff>
    </xdr:to>
    <xdr:sp macro="" textlink="VIONARO!I32">
      <xdr:nvSpPr>
        <xdr:cNvPr id="268" name="Textfeld 267"/>
        <xdr:cNvSpPr txBox="1"/>
      </xdr:nvSpPr>
      <xdr:spPr>
        <a:xfrm>
          <a:off x="13144388" y="88331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D5AF077-420E-4E95-8EA5-8C7623DD414A}" type="TxLink">
            <a:rPr lang="en-US" sz="900" b="0" i="0" u="none" strike="noStrike">
              <a:solidFill>
                <a:srgbClr val="000000"/>
              </a:solidFill>
              <a:latin typeface="Calibri"/>
              <a:ea typeface="Verdana"/>
              <a:cs typeface="Calibri"/>
            </a:rPr>
            <a:pPr algn="l"/>
            <a:t>587</a:t>
          </a:fld>
          <a:endParaRPr lang="de-AT" sz="1100">
            <a:solidFill>
              <a:sysClr val="windowText" lastClr="000000"/>
            </a:solidFill>
          </a:endParaRPr>
        </a:p>
      </xdr:txBody>
    </xdr:sp>
    <xdr:clientData/>
  </xdr:twoCellAnchor>
  <xdr:twoCellAnchor>
    <xdr:from>
      <xdr:col>3</xdr:col>
      <xdr:colOff>2885963</xdr:colOff>
      <xdr:row>5</xdr:row>
      <xdr:rowOff>2641853</xdr:rowOff>
    </xdr:from>
    <xdr:to>
      <xdr:col>3</xdr:col>
      <xdr:colOff>3330852</xdr:colOff>
      <xdr:row>5</xdr:row>
      <xdr:rowOff>2866609</xdr:rowOff>
    </xdr:to>
    <xdr:sp macro="" textlink="VIONARO!J32">
      <xdr:nvSpPr>
        <xdr:cNvPr id="269" name="Textfeld 268"/>
        <xdr:cNvSpPr txBox="1"/>
      </xdr:nvSpPr>
      <xdr:spPr>
        <a:xfrm>
          <a:off x="13144388" y="84711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0B807898-FDC2-4831-8C51-BD80C6075785}"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3</xdr:col>
      <xdr:colOff>2419238</xdr:colOff>
      <xdr:row>5</xdr:row>
      <xdr:rowOff>1937003</xdr:rowOff>
    </xdr:from>
    <xdr:to>
      <xdr:col>3</xdr:col>
      <xdr:colOff>2864127</xdr:colOff>
      <xdr:row>5</xdr:row>
      <xdr:rowOff>2161759</xdr:rowOff>
    </xdr:to>
    <xdr:sp macro="" textlink="Formeln!AX34">
      <xdr:nvSpPr>
        <xdr:cNvPr id="270" name="Textfeld 269"/>
        <xdr:cNvSpPr txBox="1"/>
      </xdr:nvSpPr>
      <xdr:spPr>
        <a:xfrm>
          <a:off x="12677663" y="77663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952A3CA0-EE61-4F3A-BA26-0A484646FF6A}"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1257188</xdr:colOff>
      <xdr:row>5</xdr:row>
      <xdr:rowOff>1937003</xdr:rowOff>
    </xdr:from>
    <xdr:to>
      <xdr:col>3</xdr:col>
      <xdr:colOff>1702077</xdr:colOff>
      <xdr:row>5</xdr:row>
      <xdr:rowOff>2161759</xdr:rowOff>
    </xdr:to>
    <xdr:sp macro="" textlink="Formeln!AZ34">
      <xdr:nvSpPr>
        <xdr:cNvPr id="271" name="Textfeld 270"/>
        <xdr:cNvSpPr txBox="1"/>
      </xdr:nvSpPr>
      <xdr:spPr>
        <a:xfrm>
          <a:off x="11515613" y="77663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39E31D24-92BA-490D-9D40-9A3A305F65BF}"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1019063</xdr:colOff>
      <xdr:row>5</xdr:row>
      <xdr:rowOff>1937003</xdr:rowOff>
    </xdr:from>
    <xdr:to>
      <xdr:col>3</xdr:col>
      <xdr:colOff>1463952</xdr:colOff>
      <xdr:row>5</xdr:row>
      <xdr:rowOff>2161759</xdr:rowOff>
    </xdr:to>
    <xdr:sp macro="" textlink="Formeln!BA34">
      <xdr:nvSpPr>
        <xdr:cNvPr id="272" name="Textfeld 271"/>
        <xdr:cNvSpPr txBox="1"/>
      </xdr:nvSpPr>
      <xdr:spPr>
        <a:xfrm>
          <a:off x="11277488" y="77663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456B03D3-B21B-4486-A3B1-1B0A0F1AC758}"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723788</xdr:colOff>
      <xdr:row>5</xdr:row>
      <xdr:rowOff>1937003</xdr:rowOff>
    </xdr:from>
    <xdr:to>
      <xdr:col>3</xdr:col>
      <xdr:colOff>1168677</xdr:colOff>
      <xdr:row>5</xdr:row>
      <xdr:rowOff>2161759</xdr:rowOff>
    </xdr:to>
    <xdr:sp macro="" textlink="Formeln!BB34">
      <xdr:nvSpPr>
        <xdr:cNvPr id="273" name="Textfeld 272"/>
        <xdr:cNvSpPr txBox="1"/>
      </xdr:nvSpPr>
      <xdr:spPr>
        <a:xfrm>
          <a:off x="10982213" y="77663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0EBA5B8-F493-4727-AC49-AFAEC12FE62A}"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2428763</xdr:colOff>
      <xdr:row>5</xdr:row>
      <xdr:rowOff>1546478</xdr:rowOff>
    </xdr:from>
    <xdr:to>
      <xdr:col>3</xdr:col>
      <xdr:colOff>2873652</xdr:colOff>
      <xdr:row>5</xdr:row>
      <xdr:rowOff>1771234</xdr:rowOff>
    </xdr:to>
    <xdr:sp macro="" textlink="Formeln!AX35">
      <xdr:nvSpPr>
        <xdr:cNvPr id="274" name="Textfeld 273"/>
        <xdr:cNvSpPr txBox="1"/>
      </xdr:nvSpPr>
      <xdr:spPr>
        <a:xfrm>
          <a:off x="12687188" y="73757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0F239480-C60F-4A03-9BEF-D8FDA9B7A848}"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2066813</xdr:colOff>
      <xdr:row>5</xdr:row>
      <xdr:rowOff>1546478</xdr:rowOff>
    </xdr:from>
    <xdr:to>
      <xdr:col>3</xdr:col>
      <xdr:colOff>2511702</xdr:colOff>
      <xdr:row>5</xdr:row>
      <xdr:rowOff>1771234</xdr:rowOff>
    </xdr:to>
    <xdr:sp macro="" textlink="Formeln!AY35">
      <xdr:nvSpPr>
        <xdr:cNvPr id="275" name="Textfeld 274"/>
        <xdr:cNvSpPr txBox="1"/>
      </xdr:nvSpPr>
      <xdr:spPr>
        <a:xfrm>
          <a:off x="12325238" y="73757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ED3BF718-6CB8-4770-9353-9320524FFACF}"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1266713</xdr:colOff>
      <xdr:row>5</xdr:row>
      <xdr:rowOff>1546478</xdr:rowOff>
    </xdr:from>
    <xdr:to>
      <xdr:col>3</xdr:col>
      <xdr:colOff>1711602</xdr:colOff>
      <xdr:row>5</xdr:row>
      <xdr:rowOff>1771234</xdr:rowOff>
    </xdr:to>
    <xdr:sp macro="" textlink="Formeln!AZ35">
      <xdr:nvSpPr>
        <xdr:cNvPr id="276" name="Textfeld 275"/>
        <xdr:cNvSpPr txBox="1"/>
      </xdr:nvSpPr>
      <xdr:spPr>
        <a:xfrm>
          <a:off x="11525138" y="73757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914B8436-9A8F-4C28-BCF0-E8F7076D2D07}"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1028588</xdr:colOff>
      <xdr:row>5</xdr:row>
      <xdr:rowOff>1546478</xdr:rowOff>
    </xdr:from>
    <xdr:to>
      <xdr:col>3</xdr:col>
      <xdr:colOff>1473477</xdr:colOff>
      <xdr:row>5</xdr:row>
      <xdr:rowOff>1771234</xdr:rowOff>
    </xdr:to>
    <xdr:sp macro="" textlink="Formeln!BA35">
      <xdr:nvSpPr>
        <xdr:cNvPr id="277" name="Textfeld 276"/>
        <xdr:cNvSpPr txBox="1"/>
      </xdr:nvSpPr>
      <xdr:spPr>
        <a:xfrm>
          <a:off x="11287013" y="73757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625C65B2-F3B7-4A21-8D95-AB86568B629E}"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733313</xdr:colOff>
      <xdr:row>5</xdr:row>
      <xdr:rowOff>1546478</xdr:rowOff>
    </xdr:from>
    <xdr:to>
      <xdr:col>3</xdr:col>
      <xdr:colOff>1178202</xdr:colOff>
      <xdr:row>5</xdr:row>
      <xdr:rowOff>1771234</xdr:rowOff>
    </xdr:to>
    <xdr:sp macro="" textlink="Formeln!BB35">
      <xdr:nvSpPr>
        <xdr:cNvPr id="278" name="Textfeld 277"/>
        <xdr:cNvSpPr txBox="1"/>
      </xdr:nvSpPr>
      <xdr:spPr>
        <a:xfrm>
          <a:off x="10991738" y="73757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BF0780B4-2CD4-4CC7-895F-DC01369CB560}"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2885963</xdr:colOff>
      <xdr:row>5</xdr:row>
      <xdr:rowOff>2137028</xdr:rowOff>
    </xdr:from>
    <xdr:to>
      <xdr:col>3</xdr:col>
      <xdr:colOff>3330852</xdr:colOff>
      <xdr:row>5</xdr:row>
      <xdr:rowOff>2361784</xdr:rowOff>
    </xdr:to>
    <xdr:sp macro="" textlink="VIONARO!I33">
      <xdr:nvSpPr>
        <xdr:cNvPr id="279" name="Textfeld 278"/>
        <xdr:cNvSpPr txBox="1"/>
      </xdr:nvSpPr>
      <xdr:spPr>
        <a:xfrm>
          <a:off x="13144388" y="79663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22DC4FE-7620-4A5A-AC22-7210B5FBC258}"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3</xdr:col>
      <xdr:colOff>2885963</xdr:colOff>
      <xdr:row>5</xdr:row>
      <xdr:rowOff>1775078</xdr:rowOff>
    </xdr:from>
    <xdr:to>
      <xdr:col>3</xdr:col>
      <xdr:colOff>3330852</xdr:colOff>
      <xdr:row>5</xdr:row>
      <xdr:rowOff>1999834</xdr:rowOff>
    </xdr:to>
    <xdr:sp macro="" textlink="VIONARO!J33">
      <xdr:nvSpPr>
        <xdr:cNvPr id="280" name="Textfeld 279"/>
        <xdr:cNvSpPr txBox="1"/>
      </xdr:nvSpPr>
      <xdr:spPr>
        <a:xfrm>
          <a:off x="13144388" y="76043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C0C63E3-2335-4062-8CB4-00F55A6CC20B}"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3</xdr:col>
      <xdr:colOff>2085863</xdr:colOff>
      <xdr:row>5</xdr:row>
      <xdr:rowOff>1937003</xdr:rowOff>
    </xdr:from>
    <xdr:to>
      <xdr:col>3</xdr:col>
      <xdr:colOff>2530752</xdr:colOff>
      <xdr:row>5</xdr:row>
      <xdr:rowOff>2161759</xdr:rowOff>
    </xdr:to>
    <xdr:sp macro="" textlink="Formeln!AY34">
      <xdr:nvSpPr>
        <xdr:cNvPr id="281" name="Textfeld 280"/>
        <xdr:cNvSpPr txBox="1"/>
      </xdr:nvSpPr>
      <xdr:spPr>
        <a:xfrm>
          <a:off x="12344288" y="776630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75F4E10E-4A9A-43D0-908D-7E23ACA1C620}"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2438288</xdr:colOff>
      <xdr:row>5</xdr:row>
      <xdr:rowOff>1089278</xdr:rowOff>
    </xdr:from>
    <xdr:to>
      <xdr:col>3</xdr:col>
      <xdr:colOff>2883177</xdr:colOff>
      <xdr:row>5</xdr:row>
      <xdr:rowOff>1314034</xdr:rowOff>
    </xdr:to>
    <xdr:sp macro="" textlink="Formeln!AX42">
      <xdr:nvSpPr>
        <xdr:cNvPr id="282" name="Textfeld 281"/>
        <xdr:cNvSpPr txBox="1"/>
      </xdr:nvSpPr>
      <xdr:spPr>
        <a:xfrm>
          <a:off x="12696713" y="69185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E1704659-3724-4C85-B607-31A386C69D36}"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1276238</xdr:colOff>
      <xdr:row>5</xdr:row>
      <xdr:rowOff>1089278</xdr:rowOff>
    </xdr:from>
    <xdr:to>
      <xdr:col>3</xdr:col>
      <xdr:colOff>1721127</xdr:colOff>
      <xdr:row>5</xdr:row>
      <xdr:rowOff>1314034</xdr:rowOff>
    </xdr:to>
    <xdr:sp macro="" textlink="Formeln!AZ42">
      <xdr:nvSpPr>
        <xdr:cNvPr id="283" name="Textfeld 282"/>
        <xdr:cNvSpPr txBox="1"/>
      </xdr:nvSpPr>
      <xdr:spPr>
        <a:xfrm>
          <a:off x="11534663" y="69185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96DFBB06-2489-4244-89C4-2C5C541C30AA}"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1038113</xdr:colOff>
      <xdr:row>5</xdr:row>
      <xdr:rowOff>1089278</xdr:rowOff>
    </xdr:from>
    <xdr:to>
      <xdr:col>3</xdr:col>
      <xdr:colOff>1483002</xdr:colOff>
      <xdr:row>5</xdr:row>
      <xdr:rowOff>1314034</xdr:rowOff>
    </xdr:to>
    <xdr:sp macro="" textlink="Formeln!BA42">
      <xdr:nvSpPr>
        <xdr:cNvPr id="284" name="Textfeld 283"/>
        <xdr:cNvSpPr txBox="1"/>
      </xdr:nvSpPr>
      <xdr:spPr>
        <a:xfrm>
          <a:off x="11296538" y="69185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F51BA4FE-152D-4C22-9945-D0DB261C29E6}"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742838</xdr:colOff>
      <xdr:row>5</xdr:row>
      <xdr:rowOff>1089278</xdr:rowOff>
    </xdr:from>
    <xdr:to>
      <xdr:col>3</xdr:col>
      <xdr:colOff>1187727</xdr:colOff>
      <xdr:row>5</xdr:row>
      <xdr:rowOff>1314034</xdr:rowOff>
    </xdr:to>
    <xdr:sp macro="" textlink="Formeln!BB42">
      <xdr:nvSpPr>
        <xdr:cNvPr id="285" name="Textfeld 284"/>
        <xdr:cNvSpPr txBox="1"/>
      </xdr:nvSpPr>
      <xdr:spPr>
        <a:xfrm>
          <a:off x="11001263" y="69185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C1ECBEEF-1174-4888-A12C-BD09FEA8AAE9}"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2447813</xdr:colOff>
      <xdr:row>5</xdr:row>
      <xdr:rowOff>727328</xdr:rowOff>
    </xdr:from>
    <xdr:to>
      <xdr:col>3</xdr:col>
      <xdr:colOff>2892702</xdr:colOff>
      <xdr:row>5</xdr:row>
      <xdr:rowOff>952084</xdr:rowOff>
    </xdr:to>
    <xdr:sp macro="" textlink="Formeln!AX43">
      <xdr:nvSpPr>
        <xdr:cNvPr id="286" name="Textfeld 285"/>
        <xdr:cNvSpPr txBox="1"/>
      </xdr:nvSpPr>
      <xdr:spPr>
        <a:xfrm>
          <a:off x="12706238" y="65566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1675D6FB-B3E7-4714-A324-44B809B1EB3A}"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2085863</xdr:colOff>
      <xdr:row>5</xdr:row>
      <xdr:rowOff>727328</xdr:rowOff>
    </xdr:from>
    <xdr:to>
      <xdr:col>3</xdr:col>
      <xdr:colOff>2530752</xdr:colOff>
      <xdr:row>5</xdr:row>
      <xdr:rowOff>952084</xdr:rowOff>
    </xdr:to>
    <xdr:sp macro="" textlink="Formeln!AY43">
      <xdr:nvSpPr>
        <xdr:cNvPr id="287" name="Textfeld 286"/>
        <xdr:cNvSpPr txBox="1"/>
      </xdr:nvSpPr>
      <xdr:spPr>
        <a:xfrm>
          <a:off x="12344288" y="65566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F2D6A8AF-F783-4778-9D6A-51BE0E96EEFD}"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1285763</xdr:colOff>
      <xdr:row>5</xdr:row>
      <xdr:rowOff>727328</xdr:rowOff>
    </xdr:from>
    <xdr:to>
      <xdr:col>3</xdr:col>
      <xdr:colOff>1730652</xdr:colOff>
      <xdr:row>5</xdr:row>
      <xdr:rowOff>952084</xdr:rowOff>
    </xdr:to>
    <xdr:sp macro="" textlink="Formeln!AZ43">
      <xdr:nvSpPr>
        <xdr:cNvPr id="288" name="Textfeld 287"/>
        <xdr:cNvSpPr txBox="1"/>
      </xdr:nvSpPr>
      <xdr:spPr>
        <a:xfrm>
          <a:off x="11544188" y="65566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F09A635C-9B9F-49F5-8E7B-AC3C921823DE}"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1047638</xdr:colOff>
      <xdr:row>5</xdr:row>
      <xdr:rowOff>727328</xdr:rowOff>
    </xdr:from>
    <xdr:to>
      <xdr:col>3</xdr:col>
      <xdr:colOff>1492527</xdr:colOff>
      <xdr:row>5</xdr:row>
      <xdr:rowOff>952084</xdr:rowOff>
    </xdr:to>
    <xdr:sp macro="" textlink="Formeln!BA43">
      <xdr:nvSpPr>
        <xdr:cNvPr id="289" name="Textfeld 288"/>
        <xdr:cNvSpPr txBox="1"/>
      </xdr:nvSpPr>
      <xdr:spPr>
        <a:xfrm>
          <a:off x="11306063" y="65566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357B558E-A86D-4D7F-A493-D7D09AA5524D}"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3</xdr:col>
      <xdr:colOff>752363</xdr:colOff>
      <xdr:row>5</xdr:row>
      <xdr:rowOff>727328</xdr:rowOff>
    </xdr:from>
    <xdr:to>
      <xdr:col>3</xdr:col>
      <xdr:colOff>1197252</xdr:colOff>
      <xdr:row>5</xdr:row>
      <xdr:rowOff>952084</xdr:rowOff>
    </xdr:to>
    <xdr:sp macro="" textlink="Formeln!BB43">
      <xdr:nvSpPr>
        <xdr:cNvPr id="290" name="Textfeld 289"/>
        <xdr:cNvSpPr txBox="1"/>
      </xdr:nvSpPr>
      <xdr:spPr>
        <a:xfrm>
          <a:off x="11010788" y="65566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3367D9B-805B-41CA-B4D9-EA9CED13841D}" type="TxLink">
            <a:rPr lang="en-US" sz="800" b="1" i="0" u="none" strike="noStrike">
              <a:solidFill>
                <a:srgbClr val="000000"/>
              </a:solidFill>
              <a:latin typeface="Calibri"/>
              <a:ea typeface="Verdana"/>
              <a:cs typeface="Calibri"/>
            </a:rPr>
            <a:pPr algn="ctr"/>
            <a:t>--</a:t>
          </a:fld>
          <a:endParaRPr lang="de-AT" sz="800" b="1">
            <a:solidFill>
              <a:sysClr val="windowText" lastClr="000000"/>
            </a:solidFill>
          </a:endParaRPr>
        </a:p>
      </xdr:txBody>
    </xdr:sp>
    <xdr:clientData/>
  </xdr:twoCellAnchor>
  <xdr:twoCellAnchor>
    <xdr:from>
      <xdr:col>3</xdr:col>
      <xdr:colOff>2905013</xdr:colOff>
      <xdr:row>5</xdr:row>
      <xdr:rowOff>1270253</xdr:rowOff>
    </xdr:from>
    <xdr:to>
      <xdr:col>3</xdr:col>
      <xdr:colOff>3349902</xdr:colOff>
      <xdr:row>5</xdr:row>
      <xdr:rowOff>1495009</xdr:rowOff>
    </xdr:to>
    <xdr:sp macro="" textlink="VIONARO!I34">
      <xdr:nvSpPr>
        <xdr:cNvPr id="291" name="Textfeld 290"/>
        <xdr:cNvSpPr txBox="1"/>
      </xdr:nvSpPr>
      <xdr:spPr>
        <a:xfrm>
          <a:off x="13163438" y="709955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1EC6F41-979D-46D2-95DD-77B4DD435391}"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3</xdr:col>
      <xdr:colOff>2905013</xdr:colOff>
      <xdr:row>5</xdr:row>
      <xdr:rowOff>917828</xdr:rowOff>
    </xdr:from>
    <xdr:to>
      <xdr:col>3</xdr:col>
      <xdr:colOff>3349902</xdr:colOff>
      <xdr:row>5</xdr:row>
      <xdr:rowOff>1142584</xdr:rowOff>
    </xdr:to>
    <xdr:sp macro="" textlink="VIONARO!J34">
      <xdr:nvSpPr>
        <xdr:cNvPr id="292" name="Textfeld 291"/>
        <xdr:cNvSpPr txBox="1"/>
      </xdr:nvSpPr>
      <xdr:spPr>
        <a:xfrm>
          <a:off x="13163438" y="674712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74C1633-3CF1-42AA-B1A3-EC21AEB59E2C}" type="TxLink">
            <a:rPr lang="en-US" sz="900" b="0" i="0" u="none" strike="noStrike">
              <a:solidFill>
                <a:srgbClr val="000000"/>
              </a:solidFill>
              <a:latin typeface="Calibri"/>
              <a:ea typeface="Verdana"/>
              <a:cs typeface="Calibri"/>
            </a:rPr>
            <a:pPr algn="l"/>
            <a:t> </a:t>
          </a:fld>
          <a:endParaRPr lang="de-AT" sz="1100">
            <a:solidFill>
              <a:sysClr val="windowText" lastClr="000000"/>
            </a:solidFill>
          </a:endParaRPr>
        </a:p>
      </xdr:txBody>
    </xdr:sp>
    <xdr:clientData/>
  </xdr:twoCellAnchor>
  <xdr:twoCellAnchor>
    <xdr:from>
      <xdr:col>3</xdr:col>
      <xdr:colOff>2104913</xdr:colOff>
      <xdr:row>5</xdr:row>
      <xdr:rowOff>1089278</xdr:rowOff>
    </xdr:from>
    <xdr:to>
      <xdr:col>3</xdr:col>
      <xdr:colOff>2549802</xdr:colOff>
      <xdr:row>5</xdr:row>
      <xdr:rowOff>1314034</xdr:rowOff>
    </xdr:to>
    <xdr:sp macro="" textlink="Formeln!AY42">
      <xdr:nvSpPr>
        <xdr:cNvPr id="293" name="Textfeld 292"/>
        <xdr:cNvSpPr txBox="1"/>
      </xdr:nvSpPr>
      <xdr:spPr>
        <a:xfrm>
          <a:off x="12363338" y="6918578"/>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fld id="{15724DD9-1B52-4CAA-B2EE-E85F126C6BF9}" type="TxLink">
            <a:rPr lang="en-US" sz="800" b="1" i="0" u="none" strike="noStrike">
              <a:solidFill>
                <a:srgbClr val="000000"/>
              </a:solidFill>
              <a:latin typeface="Calibri"/>
              <a:ea typeface="Verdana"/>
              <a:cs typeface="Calibri"/>
            </a:rPr>
            <a:pPr algn="l"/>
            <a:t>--</a:t>
          </a:fld>
          <a:endParaRPr lang="de-AT" sz="800" b="1">
            <a:solidFill>
              <a:sysClr val="windowText" lastClr="000000"/>
            </a:solidFill>
          </a:endParaRPr>
        </a:p>
      </xdr:txBody>
    </xdr:sp>
    <xdr:clientData/>
  </xdr:twoCellAnchor>
  <xdr:twoCellAnchor>
    <xdr:from>
      <xdr:col>0</xdr:col>
      <xdr:colOff>1507434</xdr:colOff>
      <xdr:row>3</xdr:row>
      <xdr:rowOff>99392</xdr:rowOff>
    </xdr:from>
    <xdr:to>
      <xdr:col>0</xdr:col>
      <xdr:colOff>1952323</xdr:colOff>
      <xdr:row>3</xdr:row>
      <xdr:rowOff>324148</xdr:rowOff>
    </xdr:to>
    <xdr:sp macro="" textlink="Formeln!BI18">
      <xdr:nvSpPr>
        <xdr:cNvPr id="294" name="Textfeld 293"/>
        <xdr:cNvSpPr txBox="1"/>
      </xdr:nvSpPr>
      <xdr:spPr>
        <a:xfrm>
          <a:off x="1507434" y="4091609"/>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B07BBA8-2955-4C09-BBA0-96F6E173A504}"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clientData/>
  </xdr:twoCellAnchor>
  <xdr:twoCellAnchor>
    <xdr:from>
      <xdr:col>0</xdr:col>
      <xdr:colOff>8282</xdr:colOff>
      <xdr:row>3</xdr:row>
      <xdr:rowOff>33131</xdr:rowOff>
    </xdr:from>
    <xdr:to>
      <xdr:col>1</xdr:col>
      <xdr:colOff>8032</xdr:colOff>
      <xdr:row>3</xdr:row>
      <xdr:rowOff>2070653</xdr:rowOff>
    </xdr:to>
    <xdr:grpSp>
      <xdr:nvGrpSpPr>
        <xdr:cNvPr id="48" name="Gruppieren 47"/>
        <xdr:cNvGrpSpPr/>
      </xdr:nvGrpSpPr>
      <xdr:grpSpPr>
        <a:xfrm>
          <a:off x="8282" y="4024106"/>
          <a:ext cx="3419225" cy="2037522"/>
          <a:chOff x="8282" y="4027062"/>
          <a:chExt cx="3422181" cy="2037522"/>
        </a:xfrm>
      </xdr:grpSpPr>
      <xdr:pic>
        <xdr:nvPicPr>
          <xdr:cNvPr id="24" name="Grafik 23"/>
          <xdr:cNvPicPr>
            <a:picLocks noChangeAspect="1"/>
          </xdr:cNvPicPr>
        </xdr:nvPicPr>
        <xdr:blipFill rotWithShape="1">
          <a:blip xmlns:r="http://schemas.openxmlformats.org/officeDocument/2006/relationships" r:embed="rId2"/>
          <a:srcRect l="6559" t="7754" r="3131"/>
          <a:stretch/>
        </xdr:blipFill>
        <xdr:spPr>
          <a:xfrm>
            <a:off x="8282" y="4027062"/>
            <a:ext cx="3406171" cy="2037522"/>
          </a:xfrm>
          <a:prstGeom prst="rect">
            <a:avLst/>
          </a:prstGeom>
        </xdr:spPr>
      </xdr:pic>
      <xdr:sp macro="" textlink="Formeln!BJ18">
        <xdr:nvSpPr>
          <xdr:cNvPr id="295" name="Textfeld 294"/>
          <xdr:cNvSpPr txBox="1"/>
        </xdr:nvSpPr>
        <xdr:spPr>
          <a:xfrm rot="16200000">
            <a:off x="-71230" y="481722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D7DC86-1C58-4CC1-B2FE-A6DBD9CBEED6}" type="TxLink">
              <a:rPr lang="en-US" sz="800" b="0" i="0" u="none" strike="noStrike">
                <a:solidFill>
                  <a:srgbClr val="000000"/>
                </a:solidFill>
                <a:latin typeface="Calibri"/>
                <a:ea typeface="Verdana"/>
                <a:cs typeface="Calibri"/>
              </a:rPr>
              <a:pPr algn="ctr"/>
              <a:t>560</a:t>
            </a:fld>
            <a:endParaRPr lang="de-AT" sz="800">
              <a:solidFill>
                <a:sysClr val="windowText" lastClr="000000"/>
              </a:solidFill>
            </a:endParaRPr>
          </a:p>
        </xdr:txBody>
      </xdr:sp>
      <xdr:sp macro="" textlink="Formeln!BI18">
        <xdr:nvSpPr>
          <xdr:cNvPr id="296" name="Textfeld 295"/>
          <xdr:cNvSpPr txBox="1"/>
        </xdr:nvSpPr>
        <xdr:spPr>
          <a:xfrm>
            <a:off x="1507434" y="409099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B07BBA8-2955-4C09-BBA0-96F6E173A504}"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sp macro="" textlink="Formeln!BH19">
        <xdr:nvSpPr>
          <xdr:cNvPr id="297" name="Textfeld 296"/>
          <xdr:cNvSpPr txBox="1"/>
        </xdr:nvSpPr>
        <xdr:spPr>
          <a:xfrm>
            <a:off x="338240" y="552331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3F54901-A0A5-480D-856E-DFED00D56D40}"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G19">
        <xdr:nvSpPr>
          <xdr:cNvPr id="298" name="Textfeld 297"/>
          <xdr:cNvSpPr txBox="1"/>
        </xdr:nvSpPr>
        <xdr:spPr>
          <a:xfrm>
            <a:off x="2449218" y="5526886"/>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6B1B31-A0BD-4A0D-B1C6-81FFFA6333A2}"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D19">
        <xdr:nvSpPr>
          <xdr:cNvPr id="299" name="Textfeld 298"/>
          <xdr:cNvSpPr txBox="1"/>
        </xdr:nvSpPr>
        <xdr:spPr>
          <a:xfrm>
            <a:off x="2976665" y="5143505"/>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95417DD-6172-4AD4-ABC1-27466542FAC2}" type="TxLink">
              <a:rPr lang="en-US" sz="800" b="0" i="0" u="none" strike="noStrike">
                <a:solidFill>
                  <a:srgbClr val="000000"/>
                </a:solidFill>
                <a:latin typeface="Calibri"/>
                <a:ea typeface="Verdana"/>
                <a:cs typeface="Calibri"/>
              </a:rPr>
              <a:pPr algn="l"/>
              <a:t>75,5</a:t>
            </a:fld>
            <a:endParaRPr lang="de-AT" sz="800">
              <a:solidFill>
                <a:sysClr val="windowText" lastClr="000000"/>
              </a:solidFill>
            </a:endParaRPr>
          </a:p>
        </xdr:txBody>
      </xdr:sp>
      <xdr:sp macro="" textlink="Formeln!BE19">
        <xdr:nvSpPr>
          <xdr:cNvPr id="300" name="Textfeld 299"/>
          <xdr:cNvSpPr txBox="1"/>
        </xdr:nvSpPr>
        <xdr:spPr>
          <a:xfrm>
            <a:off x="2980237" y="49506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D6916C-14F7-400C-98FA-AAFF6DEB9A62}"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sp macro="" textlink="Formeln!BF19">
        <xdr:nvSpPr>
          <xdr:cNvPr id="301" name="Textfeld 300"/>
          <xdr:cNvSpPr txBox="1"/>
        </xdr:nvSpPr>
        <xdr:spPr>
          <a:xfrm>
            <a:off x="2977855" y="47220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69888E7-415F-44CE-898D-F3524F4AE012}" type="TxLink">
              <a:rPr lang="en-US" sz="800" b="0" i="0" u="none" strike="noStrike">
                <a:solidFill>
                  <a:srgbClr val="000000"/>
                </a:solidFill>
                <a:latin typeface="Calibri"/>
                <a:ea typeface="Verdana"/>
                <a:cs typeface="Calibri"/>
              </a:rPr>
              <a:pPr algn="l"/>
              <a:t>96</a:t>
            </a:fld>
            <a:endParaRPr lang="de-AT" sz="800">
              <a:solidFill>
                <a:sysClr val="windowText" lastClr="000000"/>
              </a:solidFill>
            </a:endParaRPr>
          </a:p>
        </xdr:txBody>
      </xdr:sp>
      <xdr:sp macro="" textlink="Formeln!BC17">
        <xdr:nvSpPr>
          <xdr:cNvPr id="302" name="Textfeld 301"/>
          <xdr:cNvSpPr txBox="1"/>
        </xdr:nvSpPr>
        <xdr:spPr>
          <a:xfrm>
            <a:off x="749006" y="4713690"/>
            <a:ext cx="1685822"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A8B8946-CF2C-49C1-9B37-064CDE5D636F}" type="TxLink">
              <a:rPr lang="en-US" sz="1300" b="0" i="0" u="none" strike="noStrike">
                <a:solidFill>
                  <a:schemeClr val="bg1">
                    <a:lumMod val="65000"/>
                  </a:schemeClr>
                </a:solidFill>
                <a:latin typeface="Calibri"/>
                <a:ea typeface="Verdana"/>
                <a:cs typeface="Calibri"/>
              </a:rPr>
              <a:pPr algn="ctr"/>
              <a:t>Front A</a:t>
            </a:fld>
            <a:endParaRPr lang="de-AT" sz="1300">
              <a:solidFill>
                <a:schemeClr val="bg1">
                  <a:lumMod val="65000"/>
                </a:schemeClr>
              </a:solidFill>
            </a:endParaRPr>
          </a:p>
        </xdr:txBody>
      </xdr:sp>
    </xdr:grpSp>
    <xdr:clientData/>
  </xdr:twoCellAnchor>
  <xdr:twoCellAnchor>
    <xdr:from>
      <xdr:col>0</xdr:col>
      <xdr:colOff>452438</xdr:colOff>
      <xdr:row>3</xdr:row>
      <xdr:rowOff>523875</xdr:rowOff>
    </xdr:from>
    <xdr:to>
      <xdr:col>0</xdr:col>
      <xdr:colOff>2768203</xdr:colOff>
      <xdr:row>3</xdr:row>
      <xdr:rowOff>1333500</xdr:rowOff>
    </xdr:to>
    <xdr:sp macro="" textlink="">
      <xdr:nvSpPr>
        <xdr:cNvPr id="35" name="Rechteck 34"/>
        <xdr:cNvSpPr/>
      </xdr:nvSpPr>
      <xdr:spPr>
        <a:xfrm>
          <a:off x="452438" y="4518422"/>
          <a:ext cx="2315765" cy="809625"/>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0</xdr:colOff>
      <xdr:row>3</xdr:row>
      <xdr:rowOff>36744</xdr:rowOff>
    </xdr:from>
    <xdr:to>
      <xdr:col>1</xdr:col>
      <xdr:colOff>5087</xdr:colOff>
      <xdr:row>3</xdr:row>
      <xdr:rowOff>2074266</xdr:rowOff>
    </xdr:to>
    <xdr:grpSp>
      <xdr:nvGrpSpPr>
        <xdr:cNvPr id="303" name="Gruppieren 302"/>
        <xdr:cNvGrpSpPr/>
      </xdr:nvGrpSpPr>
      <xdr:grpSpPr>
        <a:xfrm>
          <a:off x="0" y="4027719"/>
          <a:ext cx="3424562" cy="2037522"/>
          <a:chOff x="8282" y="4027062"/>
          <a:chExt cx="3422181" cy="2037522"/>
        </a:xfrm>
      </xdr:grpSpPr>
      <xdr:pic>
        <xdr:nvPicPr>
          <xdr:cNvPr id="304" name="Grafik 303"/>
          <xdr:cNvPicPr>
            <a:picLocks noChangeAspect="1"/>
          </xdr:cNvPicPr>
        </xdr:nvPicPr>
        <xdr:blipFill rotWithShape="1">
          <a:blip xmlns:r="http://schemas.openxmlformats.org/officeDocument/2006/relationships" r:embed="rId2"/>
          <a:srcRect l="6559" t="7754" r="3131"/>
          <a:stretch/>
        </xdr:blipFill>
        <xdr:spPr>
          <a:xfrm>
            <a:off x="8282" y="4027062"/>
            <a:ext cx="3406171" cy="2037522"/>
          </a:xfrm>
          <a:prstGeom prst="rect">
            <a:avLst/>
          </a:prstGeom>
        </xdr:spPr>
      </xdr:pic>
      <xdr:sp macro="" textlink="Formeln!BJ18">
        <xdr:nvSpPr>
          <xdr:cNvPr id="305" name="Textfeld 304"/>
          <xdr:cNvSpPr txBox="1"/>
        </xdr:nvSpPr>
        <xdr:spPr>
          <a:xfrm rot="16200000">
            <a:off x="-71230" y="481722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D7DC86-1C58-4CC1-B2FE-A6DBD9CBEED6}" type="TxLink">
              <a:rPr lang="en-US" sz="800" b="0" i="0" u="none" strike="noStrike">
                <a:solidFill>
                  <a:srgbClr val="000000"/>
                </a:solidFill>
                <a:latin typeface="Calibri"/>
                <a:ea typeface="Verdana"/>
                <a:cs typeface="Calibri"/>
              </a:rPr>
              <a:pPr algn="ctr"/>
              <a:t>560</a:t>
            </a:fld>
            <a:endParaRPr lang="de-AT" sz="800">
              <a:solidFill>
                <a:sysClr val="windowText" lastClr="000000"/>
              </a:solidFill>
            </a:endParaRPr>
          </a:p>
        </xdr:txBody>
      </xdr:sp>
      <xdr:sp macro="" textlink="Formeln!BI18">
        <xdr:nvSpPr>
          <xdr:cNvPr id="306" name="Textfeld 305"/>
          <xdr:cNvSpPr txBox="1"/>
        </xdr:nvSpPr>
        <xdr:spPr>
          <a:xfrm>
            <a:off x="454766" y="4090993"/>
            <a:ext cx="2303860"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B07BBA8-2955-4C09-BBA0-96F6E173A504}"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sp macro="" textlink="Formeln!BH19">
        <xdr:nvSpPr>
          <xdr:cNvPr id="307" name="Textfeld 306"/>
          <xdr:cNvSpPr txBox="1"/>
        </xdr:nvSpPr>
        <xdr:spPr>
          <a:xfrm>
            <a:off x="338240" y="552331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3F54901-A0A5-480D-856E-DFED00D56D40}"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G19">
        <xdr:nvSpPr>
          <xdr:cNvPr id="308" name="Textfeld 307"/>
          <xdr:cNvSpPr txBox="1"/>
        </xdr:nvSpPr>
        <xdr:spPr>
          <a:xfrm>
            <a:off x="2449218" y="5526886"/>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6B1B31-A0BD-4A0D-B1C6-81FFFA6333A2}"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D19">
        <xdr:nvSpPr>
          <xdr:cNvPr id="309" name="Textfeld 308"/>
          <xdr:cNvSpPr txBox="1"/>
        </xdr:nvSpPr>
        <xdr:spPr>
          <a:xfrm>
            <a:off x="2976665" y="5143505"/>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95417DD-6172-4AD4-ABC1-27466542FAC2}" type="TxLink">
              <a:rPr lang="en-US" sz="800" b="0" i="0" u="none" strike="noStrike">
                <a:solidFill>
                  <a:srgbClr val="000000"/>
                </a:solidFill>
                <a:latin typeface="Calibri"/>
                <a:ea typeface="Verdana"/>
                <a:cs typeface="Calibri"/>
              </a:rPr>
              <a:pPr algn="l"/>
              <a:t>75,5</a:t>
            </a:fld>
            <a:endParaRPr lang="de-AT" sz="800">
              <a:solidFill>
                <a:sysClr val="windowText" lastClr="000000"/>
              </a:solidFill>
            </a:endParaRPr>
          </a:p>
        </xdr:txBody>
      </xdr:sp>
      <xdr:sp macro="" textlink="Formeln!BE19">
        <xdr:nvSpPr>
          <xdr:cNvPr id="310" name="Textfeld 309"/>
          <xdr:cNvSpPr txBox="1"/>
        </xdr:nvSpPr>
        <xdr:spPr>
          <a:xfrm>
            <a:off x="2980237" y="49506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D6916C-14F7-400C-98FA-AAFF6DEB9A62}"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sp macro="" textlink="Formeln!BF19">
        <xdr:nvSpPr>
          <xdr:cNvPr id="311" name="Textfeld 310"/>
          <xdr:cNvSpPr txBox="1"/>
        </xdr:nvSpPr>
        <xdr:spPr>
          <a:xfrm>
            <a:off x="2977855" y="47220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69888E7-415F-44CE-898D-F3524F4AE012}" type="TxLink">
              <a:rPr lang="en-US" sz="800" b="0" i="0" u="none" strike="noStrike">
                <a:solidFill>
                  <a:srgbClr val="000000"/>
                </a:solidFill>
                <a:latin typeface="Calibri"/>
                <a:ea typeface="Verdana"/>
                <a:cs typeface="Calibri"/>
              </a:rPr>
              <a:pPr algn="l"/>
              <a:t>96</a:t>
            </a:fld>
            <a:endParaRPr lang="de-AT" sz="800">
              <a:solidFill>
                <a:sysClr val="windowText" lastClr="000000"/>
              </a:solidFill>
            </a:endParaRPr>
          </a:p>
        </xdr:txBody>
      </xdr:sp>
      <xdr:sp macro="" textlink="Formeln!BC17">
        <xdr:nvSpPr>
          <xdr:cNvPr id="312" name="Textfeld 311"/>
          <xdr:cNvSpPr txBox="1"/>
        </xdr:nvSpPr>
        <xdr:spPr>
          <a:xfrm>
            <a:off x="749006" y="4713690"/>
            <a:ext cx="1685822"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A8B8946-CF2C-49C1-9B37-064CDE5D636F}" type="TxLink">
              <a:rPr lang="en-US" sz="1300" b="1" i="0" u="none" strike="noStrike">
                <a:solidFill>
                  <a:schemeClr val="bg1">
                    <a:lumMod val="65000"/>
                  </a:schemeClr>
                </a:solidFill>
                <a:latin typeface="Calibri"/>
                <a:ea typeface="Verdana"/>
                <a:cs typeface="Calibri"/>
              </a:rPr>
              <a:pPr algn="ctr"/>
              <a:t>Front A</a:t>
            </a:fld>
            <a:endParaRPr lang="de-AT" sz="1300" b="1">
              <a:solidFill>
                <a:schemeClr val="bg1">
                  <a:lumMod val="65000"/>
                </a:schemeClr>
              </a:solidFill>
            </a:endParaRPr>
          </a:p>
        </xdr:txBody>
      </xdr:sp>
    </xdr:grpSp>
    <xdr:clientData/>
  </xdr:twoCellAnchor>
  <xdr:twoCellAnchor>
    <xdr:from>
      <xdr:col>1</xdr:col>
      <xdr:colOff>9595</xdr:colOff>
      <xdr:row>3</xdr:row>
      <xdr:rowOff>70904</xdr:rowOff>
    </xdr:from>
    <xdr:to>
      <xdr:col>2</xdr:col>
      <xdr:colOff>9345</xdr:colOff>
      <xdr:row>3</xdr:row>
      <xdr:rowOff>2108426</xdr:rowOff>
    </xdr:to>
    <xdr:grpSp>
      <xdr:nvGrpSpPr>
        <xdr:cNvPr id="313" name="Gruppieren 312"/>
        <xdr:cNvGrpSpPr/>
      </xdr:nvGrpSpPr>
      <xdr:grpSpPr>
        <a:xfrm>
          <a:off x="3429070" y="4061879"/>
          <a:ext cx="3419225" cy="2037522"/>
          <a:chOff x="8282" y="4027062"/>
          <a:chExt cx="3422181" cy="2037522"/>
        </a:xfrm>
      </xdr:grpSpPr>
      <xdr:pic>
        <xdr:nvPicPr>
          <xdr:cNvPr id="314" name="Grafik 313"/>
          <xdr:cNvPicPr>
            <a:picLocks noChangeAspect="1"/>
          </xdr:cNvPicPr>
        </xdr:nvPicPr>
        <xdr:blipFill rotWithShape="1">
          <a:blip xmlns:r="http://schemas.openxmlformats.org/officeDocument/2006/relationships" r:embed="rId2"/>
          <a:srcRect l="6559" t="7754" r="3131"/>
          <a:stretch/>
        </xdr:blipFill>
        <xdr:spPr>
          <a:xfrm>
            <a:off x="8282" y="4027062"/>
            <a:ext cx="3406171" cy="2037522"/>
          </a:xfrm>
          <a:prstGeom prst="rect">
            <a:avLst/>
          </a:prstGeom>
        </xdr:spPr>
      </xdr:pic>
      <xdr:sp macro="" textlink="Formeln!BJ18">
        <xdr:nvSpPr>
          <xdr:cNvPr id="315" name="Textfeld 314"/>
          <xdr:cNvSpPr txBox="1"/>
        </xdr:nvSpPr>
        <xdr:spPr>
          <a:xfrm rot="16200000">
            <a:off x="-71230" y="481722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D7DC86-1C58-4CC1-B2FE-A6DBD9CBEED6}" type="TxLink">
              <a:rPr lang="en-US" sz="800" b="0" i="0" u="none" strike="noStrike">
                <a:solidFill>
                  <a:srgbClr val="000000"/>
                </a:solidFill>
                <a:latin typeface="Calibri"/>
                <a:ea typeface="Verdana"/>
                <a:cs typeface="Calibri"/>
              </a:rPr>
              <a:pPr algn="ctr"/>
              <a:t>560</a:t>
            </a:fld>
            <a:endParaRPr lang="de-AT" sz="800">
              <a:solidFill>
                <a:sysClr val="windowText" lastClr="000000"/>
              </a:solidFill>
            </a:endParaRPr>
          </a:p>
        </xdr:txBody>
      </xdr:sp>
      <xdr:sp macro="" textlink="Formeln!BI18">
        <xdr:nvSpPr>
          <xdr:cNvPr id="316" name="Textfeld 315"/>
          <xdr:cNvSpPr txBox="1"/>
        </xdr:nvSpPr>
        <xdr:spPr>
          <a:xfrm>
            <a:off x="1507434" y="409099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B07BBA8-2955-4C09-BBA0-96F6E173A504}"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sp macro="" textlink="Formeln!BH19">
        <xdr:nvSpPr>
          <xdr:cNvPr id="317" name="Textfeld 316"/>
          <xdr:cNvSpPr txBox="1"/>
        </xdr:nvSpPr>
        <xdr:spPr>
          <a:xfrm>
            <a:off x="338240" y="552331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3F54901-A0A5-480D-856E-DFED00D56D40}"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G19">
        <xdr:nvSpPr>
          <xdr:cNvPr id="318" name="Textfeld 317"/>
          <xdr:cNvSpPr txBox="1"/>
        </xdr:nvSpPr>
        <xdr:spPr>
          <a:xfrm>
            <a:off x="2449218" y="5526886"/>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6B1B31-A0BD-4A0D-B1C6-81FFFA6333A2}"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D19">
        <xdr:nvSpPr>
          <xdr:cNvPr id="319" name="Textfeld 318"/>
          <xdr:cNvSpPr txBox="1"/>
        </xdr:nvSpPr>
        <xdr:spPr>
          <a:xfrm>
            <a:off x="2976665" y="5143505"/>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95417DD-6172-4AD4-ABC1-27466542FAC2}" type="TxLink">
              <a:rPr lang="en-US" sz="800" b="0" i="0" u="none" strike="noStrike">
                <a:solidFill>
                  <a:srgbClr val="000000"/>
                </a:solidFill>
                <a:latin typeface="Calibri"/>
                <a:ea typeface="Verdana"/>
                <a:cs typeface="Calibri"/>
              </a:rPr>
              <a:pPr algn="l"/>
              <a:t>75,5</a:t>
            </a:fld>
            <a:endParaRPr lang="de-AT" sz="800">
              <a:solidFill>
                <a:sysClr val="windowText" lastClr="000000"/>
              </a:solidFill>
            </a:endParaRPr>
          </a:p>
        </xdr:txBody>
      </xdr:sp>
      <xdr:sp macro="" textlink="Formeln!BE19">
        <xdr:nvSpPr>
          <xdr:cNvPr id="320" name="Textfeld 319"/>
          <xdr:cNvSpPr txBox="1"/>
        </xdr:nvSpPr>
        <xdr:spPr>
          <a:xfrm>
            <a:off x="2980237" y="49506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D6916C-14F7-400C-98FA-AAFF6DEB9A62}"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sp macro="" textlink="Formeln!BF19">
        <xdr:nvSpPr>
          <xdr:cNvPr id="321" name="Textfeld 320"/>
          <xdr:cNvSpPr txBox="1"/>
        </xdr:nvSpPr>
        <xdr:spPr>
          <a:xfrm>
            <a:off x="2977855" y="47220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69888E7-415F-44CE-898D-F3524F4AE012}" type="TxLink">
              <a:rPr lang="en-US" sz="800" b="0" i="0" u="none" strike="noStrike">
                <a:solidFill>
                  <a:srgbClr val="000000"/>
                </a:solidFill>
                <a:latin typeface="Calibri"/>
                <a:ea typeface="Verdana"/>
                <a:cs typeface="Calibri"/>
              </a:rPr>
              <a:pPr algn="l"/>
              <a:t>96</a:t>
            </a:fld>
            <a:endParaRPr lang="de-AT" sz="800">
              <a:solidFill>
                <a:sysClr val="windowText" lastClr="000000"/>
              </a:solidFill>
            </a:endParaRPr>
          </a:p>
        </xdr:txBody>
      </xdr:sp>
      <xdr:sp macro="" textlink="Formeln!BC17">
        <xdr:nvSpPr>
          <xdr:cNvPr id="322" name="Textfeld 321"/>
          <xdr:cNvSpPr txBox="1"/>
        </xdr:nvSpPr>
        <xdr:spPr>
          <a:xfrm>
            <a:off x="749006" y="4713690"/>
            <a:ext cx="1685822"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A8B8946-CF2C-49C1-9B37-064CDE5D636F}" type="TxLink">
              <a:rPr lang="en-US" sz="1300" b="1" i="0" u="none" strike="noStrike">
                <a:solidFill>
                  <a:schemeClr val="bg1">
                    <a:lumMod val="65000"/>
                  </a:schemeClr>
                </a:solidFill>
                <a:latin typeface="Calibri"/>
                <a:ea typeface="Verdana"/>
                <a:cs typeface="Calibri"/>
              </a:rPr>
              <a:pPr algn="ctr"/>
              <a:t>Front A</a:t>
            </a:fld>
            <a:endParaRPr lang="de-AT" sz="1300" b="1">
              <a:solidFill>
                <a:schemeClr val="bg1">
                  <a:lumMod val="65000"/>
                </a:schemeClr>
              </a:solidFill>
            </a:endParaRPr>
          </a:p>
        </xdr:txBody>
      </xdr:sp>
    </xdr:grpSp>
    <xdr:clientData/>
  </xdr:twoCellAnchor>
  <xdr:twoCellAnchor>
    <xdr:from>
      <xdr:col>1</xdr:col>
      <xdr:colOff>4339</xdr:colOff>
      <xdr:row>3</xdr:row>
      <xdr:rowOff>2148011</xdr:rowOff>
    </xdr:from>
    <xdr:to>
      <xdr:col>2</xdr:col>
      <xdr:colOff>4089</xdr:colOff>
      <xdr:row>3</xdr:row>
      <xdr:rowOff>4185533</xdr:rowOff>
    </xdr:to>
    <xdr:grpSp>
      <xdr:nvGrpSpPr>
        <xdr:cNvPr id="323" name="Gruppieren 322"/>
        <xdr:cNvGrpSpPr/>
      </xdr:nvGrpSpPr>
      <xdr:grpSpPr>
        <a:xfrm>
          <a:off x="3423814" y="6138986"/>
          <a:ext cx="3419225" cy="2037522"/>
          <a:chOff x="8282" y="4027062"/>
          <a:chExt cx="3422181" cy="2037522"/>
        </a:xfrm>
      </xdr:grpSpPr>
      <xdr:pic>
        <xdr:nvPicPr>
          <xdr:cNvPr id="324" name="Grafik 323"/>
          <xdr:cNvPicPr>
            <a:picLocks noChangeAspect="1"/>
          </xdr:cNvPicPr>
        </xdr:nvPicPr>
        <xdr:blipFill rotWithShape="1">
          <a:blip xmlns:r="http://schemas.openxmlformats.org/officeDocument/2006/relationships" r:embed="rId2"/>
          <a:srcRect l="6559" t="7754" r="3131"/>
          <a:stretch/>
        </xdr:blipFill>
        <xdr:spPr>
          <a:xfrm>
            <a:off x="8282" y="4027062"/>
            <a:ext cx="3406171" cy="2037522"/>
          </a:xfrm>
          <a:prstGeom prst="rect">
            <a:avLst/>
          </a:prstGeom>
          <a:noFill/>
          <a:ln w="9525" cmpd="sng">
            <a:noFill/>
          </a:ln>
        </xdr:spPr>
      </xdr:pic>
      <xdr:sp macro="" textlink="Formeln!BJ26">
        <xdr:nvSpPr>
          <xdr:cNvPr id="325" name="Textfeld 324"/>
          <xdr:cNvSpPr txBox="1"/>
        </xdr:nvSpPr>
        <xdr:spPr>
          <a:xfrm rot="16200000">
            <a:off x="-71230" y="481722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70F7182-6A5D-4727-9972-02929F08D9F4}" type="TxLink">
              <a:rPr lang="en-US" sz="800" b="0" i="0" u="none" strike="noStrike">
                <a:solidFill>
                  <a:srgbClr val="000000"/>
                </a:solidFill>
                <a:latin typeface="Calibri"/>
                <a:ea typeface="Verdana"/>
                <a:cs typeface="Calibri"/>
              </a:rPr>
              <a:pPr algn="ctr"/>
              <a:t>140</a:t>
            </a:fld>
            <a:endParaRPr lang="de-AT" sz="800">
              <a:solidFill>
                <a:sysClr val="windowText" lastClr="000000"/>
              </a:solidFill>
            </a:endParaRPr>
          </a:p>
        </xdr:txBody>
      </xdr:sp>
      <xdr:sp macro="" textlink="Formeln!BI26">
        <xdr:nvSpPr>
          <xdr:cNvPr id="326" name="Textfeld 325"/>
          <xdr:cNvSpPr txBox="1"/>
        </xdr:nvSpPr>
        <xdr:spPr>
          <a:xfrm>
            <a:off x="1507434" y="409099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2D946D-13DC-4E96-BF05-72E9BFFF0B22}"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sp macro="" textlink="Formeln!BH27">
        <xdr:nvSpPr>
          <xdr:cNvPr id="327" name="Textfeld 326"/>
          <xdr:cNvSpPr txBox="1"/>
        </xdr:nvSpPr>
        <xdr:spPr>
          <a:xfrm>
            <a:off x="338240" y="5523314"/>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E44130F-7935-4833-9590-25D7657372D7}"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G27">
        <xdr:nvSpPr>
          <xdr:cNvPr id="328" name="Textfeld 327"/>
          <xdr:cNvSpPr txBox="1"/>
        </xdr:nvSpPr>
        <xdr:spPr>
          <a:xfrm>
            <a:off x="2449218" y="5526886"/>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4352A31-FACB-49C0-BE65-0E883808C7A3}"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sp macro="" textlink="Formeln!BD27">
        <xdr:nvSpPr>
          <xdr:cNvPr id="329" name="Textfeld 328"/>
          <xdr:cNvSpPr txBox="1"/>
        </xdr:nvSpPr>
        <xdr:spPr>
          <a:xfrm>
            <a:off x="2976665" y="5143505"/>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4BFAE1A-B50A-4EC4-B7F5-AFF7881500AE}" type="TxLink">
              <a:rPr lang="en-US" sz="800" b="0" i="0" u="none" strike="noStrike">
                <a:solidFill>
                  <a:srgbClr val="000000"/>
                </a:solidFill>
                <a:latin typeface="Calibri"/>
                <a:ea typeface="Verdana"/>
                <a:cs typeface="Calibri"/>
              </a:rPr>
              <a:pPr algn="l"/>
              <a:t>64,5</a:t>
            </a:fld>
            <a:endParaRPr lang="de-AT" sz="800">
              <a:solidFill>
                <a:sysClr val="windowText" lastClr="000000"/>
              </a:solidFill>
            </a:endParaRPr>
          </a:p>
        </xdr:txBody>
      </xdr:sp>
      <xdr:sp macro="" textlink="Formeln!BE27">
        <xdr:nvSpPr>
          <xdr:cNvPr id="330" name="Textfeld 329"/>
          <xdr:cNvSpPr txBox="1"/>
        </xdr:nvSpPr>
        <xdr:spPr>
          <a:xfrm>
            <a:off x="2980237" y="49506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33907E-C741-43F5-8107-330C15B926D0}"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sp macro="" textlink="Formeln!BF27">
        <xdr:nvSpPr>
          <xdr:cNvPr id="331" name="Textfeld 330"/>
          <xdr:cNvSpPr txBox="1"/>
        </xdr:nvSpPr>
        <xdr:spPr>
          <a:xfrm>
            <a:off x="2977855" y="472202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719751-3C37-4C16-A9AA-A465735286F9}" type="TxLink">
              <a:rPr lang="en-US" sz="800" b="0" i="0" u="none" strike="noStrike">
                <a:solidFill>
                  <a:srgbClr val="000000"/>
                </a:solidFill>
                <a:latin typeface="Calibri"/>
                <a:ea typeface="Verdana"/>
                <a:cs typeface="Calibri"/>
              </a:rPr>
              <a:pPr algn="l"/>
              <a:t>--</a:t>
            </a:fld>
            <a:endParaRPr lang="de-AT" sz="800">
              <a:solidFill>
                <a:sysClr val="windowText" lastClr="000000"/>
              </a:solidFill>
            </a:endParaRPr>
          </a:p>
        </xdr:txBody>
      </xdr:sp>
      <xdr:sp macro="" textlink="Formeln!BC25">
        <xdr:nvSpPr>
          <xdr:cNvPr id="332" name="Textfeld 331"/>
          <xdr:cNvSpPr txBox="1"/>
        </xdr:nvSpPr>
        <xdr:spPr>
          <a:xfrm>
            <a:off x="749006" y="4713690"/>
            <a:ext cx="1685822"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A666795-A229-4CC8-B147-39308E46D190}" type="TxLink">
              <a:rPr lang="en-US" sz="1300" b="1" i="0" u="none" strike="noStrike">
                <a:solidFill>
                  <a:schemeClr val="bg1">
                    <a:lumMod val="65000"/>
                  </a:schemeClr>
                </a:solidFill>
                <a:latin typeface="Calibri"/>
                <a:ea typeface="Verdana"/>
                <a:cs typeface="Calibri"/>
              </a:rPr>
              <a:pPr algn="ctr"/>
              <a:t>Front B</a:t>
            </a:fld>
            <a:endParaRPr lang="de-AT" sz="1300" b="1">
              <a:solidFill>
                <a:schemeClr val="bg1">
                  <a:lumMod val="65000"/>
                </a:schemeClr>
              </a:solidFill>
            </a:endParaRPr>
          </a:p>
        </xdr:txBody>
      </xdr:sp>
    </xdr:grpSp>
    <xdr:clientData/>
  </xdr:twoCellAnchor>
  <xdr:twoCellAnchor>
    <xdr:from>
      <xdr:col>2</xdr:col>
      <xdr:colOff>39408</xdr:colOff>
      <xdr:row>3</xdr:row>
      <xdr:rowOff>594598</xdr:rowOff>
    </xdr:from>
    <xdr:to>
      <xdr:col>2</xdr:col>
      <xdr:colOff>264051</xdr:colOff>
      <xdr:row>3</xdr:row>
      <xdr:rowOff>1039487</xdr:rowOff>
    </xdr:to>
    <xdr:sp macro="" textlink="Formeln!BJ18">
      <xdr:nvSpPr>
        <xdr:cNvPr id="355" name="Textfeld 354"/>
        <xdr:cNvSpPr txBox="1"/>
      </xdr:nvSpPr>
      <xdr:spPr>
        <a:xfrm rot="16200000">
          <a:off x="6770720" y="4696938"/>
          <a:ext cx="444889" cy="224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D7DC86-1C58-4CC1-B2FE-A6DBD9CBEED6}" type="TxLink">
            <a:rPr lang="en-US" sz="800" b="0" i="0" u="none" strike="noStrike">
              <a:solidFill>
                <a:srgbClr val="000000"/>
              </a:solidFill>
              <a:latin typeface="Calibri"/>
              <a:ea typeface="Verdana"/>
              <a:cs typeface="Calibri"/>
            </a:rPr>
            <a:pPr algn="ctr"/>
            <a:t>560</a:t>
          </a:fld>
          <a:endParaRPr lang="de-AT" sz="800">
            <a:solidFill>
              <a:sysClr val="windowText" lastClr="000000"/>
            </a:solidFill>
          </a:endParaRPr>
        </a:p>
      </xdr:txBody>
    </xdr:sp>
    <xdr:clientData/>
  </xdr:twoCellAnchor>
  <xdr:twoCellAnchor>
    <xdr:from>
      <xdr:col>2</xdr:col>
      <xdr:colOff>1507270</xdr:colOff>
      <xdr:row>2</xdr:row>
      <xdr:rowOff>168934</xdr:rowOff>
    </xdr:from>
    <xdr:to>
      <xdr:col>2</xdr:col>
      <xdr:colOff>1951936</xdr:colOff>
      <xdr:row>3</xdr:row>
      <xdr:rowOff>203190</xdr:rowOff>
    </xdr:to>
    <xdr:sp macro="" textlink="Formeln!BI18">
      <xdr:nvSpPr>
        <xdr:cNvPr id="356" name="Textfeld 355"/>
        <xdr:cNvSpPr txBox="1"/>
      </xdr:nvSpPr>
      <xdr:spPr>
        <a:xfrm>
          <a:off x="8348705" y="3970651"/>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B07BBA8-2955-4C09-BBA0-96F6E173A504}"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clientData/>
  </xdr:twoCellAnchor>
  <xdr:twoCellAnchor>
    <xdr:from>
      <xdr:col>2</xdr:col>
      <xdr:colOff>338662</xdr:colOff>
      <xdr:row>3</xdr:row>
      <xdr:rowOff>1410755</xdr:rowOff>
    </xdr:from>
    <xdr:to>
      <xdr:col>2</xdr:col>
      <xdr:colOff>783328</xdr:colOff>
      <xdr:row>3</xdr:row>
      <xdr:rowOff>1635511</xdr:rowOff>
    </xdr:to>
    <xdr:sp macro="" textlink="Formeln!BH19">
      <xdr:nvSpPr>
        <xdr:cNvPr id="357" name="Textfeld 356"/>
        <xdr:cNvSpPr txBox="1"/>
      </xdr:nvSpPr>
      <xdr:spPr>
        <a:xfrm>
          <a:off x="7180097" y="5402972"/>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3F54901-A0A5-480D-856E-DFED00D56D40}"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2</xdr:col>
      <xdr:colOff>2448582</xdr:colOff>
      <xdr:row>3</xdr:row>
      <xdr:rowOff>1414327</xdr:rowOff>
    </xdr:from>
    <xdr:to>
      <xdr:col>2</xdr:col>
      <xdr:colOff>2893248</xdr:colOff>
      <xdr:row>3</xdr:row>
      <xdr:rowOff>1639083</xdr:rowOff>
    </xdr:to>
    <xdr:sp macro="" textlink="Formeln!BG19">
      <xdr:nvSpPr>
        <xdr:cNvPr id="358" name="Textfeld 357"/>
        <xdr:cNvSpPr txBox="1"/>
      </xdr:nvSpPr>
      <xdr:spPr>
        <a:xfrm>
          <a:off x="9290017" y="5406544"/>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6B1B31-A0BD-4A0D-B1C6-81FFFA6333A2}"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2</xdr:col>
      <xdr:colOff>2975765</xdr:colOff>
      <xdr:row>3</xdr:row>
      <xdr:rowOff>1030946</xdr:rowOff>
    </xdr:from>
    <xdr:to>
      <xdr:col>3</xdr:col>
      <xdr:colOff>5049</xdr:colOff>
      <xdr:row>3</xdr:row>
      <xdr:rowOff>1255702</xdr:rowOff>
    </xdr:to>
    <xdr:sp macro="" textlink="Formeln!BD19">
      <xdr:nvSpPr>
        <xdr:cNvPr id="359" name="Textfeld 358"/>
        <xdr:cNvSpPr txBox="1"/>
      </xdr:nvSpPr>
      <xdr:spPr>
        <a:xfrm>
          <a:off x="9817200" y="5023163"/>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95417DD-6172-4AD4-ABC1-27466542FAC2}" type="TxLink">
            <a:rPr lang="en-US" sz="800" b="0" i="0" u="none" strike="noStrike">
              <a:solidFill>
                <a:srgbClr val="000000"/>
              </a:solidFill>
              <a:latin typeface="Calibri"/>
              <a:ea typeface="Verdana"/>
              <a:cs typeface="Calibri"/>
            </a:rPr>
            <a:pPr algn="l"/>
            <a:t>75,5</a:t>
          </a:fld>
          <a:endParaRPr lang="de-AT" sz="800">
            <a:solidFill>
              <a:sysClr val="windowText" lastClr="000000"/>
            </a:solidFill>
          </a:endParaRPr>
        </a:p>
      </xdr:txBody>
    </xdr:sp>
    <xdr:clientData/>
  </xdr:twoCellAnchor>
  <xdr:twoCellAnchor>
    <xdr:from>
      <xdr:col>2</xdr:col>
      <xdr:colOff>2979335</xdr:colOff>
      <xdr:row>3</xdr:row>
      <xdr:rowOff>838065</xdr:rowOff>
    </xdr:from>
    <xdr:to>
      <xdr:col>3</xdr:col>
      <xdr:colOff>8619</xdr:colOff>
      <xdr:row>3</xdr:row>
      <xdr:rowOff>1062821</xdr:rowOff>
    </xdr:to>
    <xdr:sp macro="" textlink="Formeln!BE19">
      <xdr:nvSpPr>
        <xdr:cNvPr id="360" name="Textfeld 359"/>
        <xdr:cNvSpPr txBox="1"/>
      </xdr:nvSpPr>
      <xdr:spPr>
        <a:xfrm>
          <a:off x="9820770" y="4830282"/>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D6916C-14F7-400C-98FA-AAFF6DEB9A62}"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clientData/>
  </xdr:twoCellAnchor>
  <xdr:twoCellAnchor>
    <xdr:from>
      <xdr:col>2</xdr:col>
      <xdr:colOff>2976955</xdr:colOff>
      <xdr:row>3</xdr:row>
      <xdr:rowOff>609465</xdr:rowOff>
    </xdr:from>
    <xdr:to>
      <xdr:col>3</xdr:col>
      <xdr:colOff>6239</xdr:colOff>
      <xdr:row>3</xdr:row>
      <xdr:rowOff>834221</xdr:rowOff>
    </xdr:to>
    <xdr:sp macro="" textlink="Formeln!BF19">
      <xdr:nvSpPr>
        <xdr:cNvPr id="361" name="Textfeld 360"/>
        <xdr:cNvSpPr txBox="1"/>
      </xdr:nvSpPr>
      <xdr:spPr>
        <a:xfrm>
          <a:off x="9818390" y="4601682"/>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69888E7-415F-44CE-898D-F3524F4AE012}" type="TxLink">
            <a:rPr lang="en-US" sz="800" b="0" i="0" u="none" strike="noStrike">
              <a:solidFill>
                <a:srgbClr val="000000"/>
              </a:solidFill>
              <a:latin typeface="Calibri"/>
              <a:ea typeface="Verdana"/>
              <a:cs typeface="Calibri"/>
            </a:rPr>
            <a:pPr algn="l"/>
            <a:t>96</a:t>
          </a:fld>
          <a:endParaRPr lang="de-AT" sz="800">
            <a:solidFill>
              <a:sysClr val="windowText" lastClr="000000"/>
            </a:solidFill>
          </a:endParaRPr>
        </a:p>
      </xdr:txBody>
    </xdr:sp>
    <xdr:clientData/>
  </xdr:twoCellAnchor>
  <xdr:twoCellAnchor>
    <xdr:from>
      <xdr:col>2</xdr:col>
      <xdr:colOff>749222</xdr:colOff>
      <xdr:row>3</xdr:row>
      <xdr:rowOff>601131</xdr:rowOff>
    </xdr:from>
    <xdr:to>
      <xdr:col>2</xdr:col>
      <xdr:colOff>2434200</xdr:colOff>
      <xdr:row>3</xdr:row>
      <xdr:rowOff>825887</xdr:rowOff>
    </xdr:to>
    <xdr:sp macro="" textlink="Formeln!BC17">
      <xdr:nvSpPr>
        <xdr:cNvPr id="362" name="Textfeld 361"/>
        <xdr:cNvSpPr txBox="1"/>
      </xdr:nvSpPr>
      <xdr:spPr>
        <a:xfrm>
          <a:off x="7590657" y="4593348"/>
          <a:ext cx="1684978"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A8B8946-CF2C-49C1-9B37-064CDE5D636F}" type="TxLink">
            <a:rPr lang="en-US" sz="1300" b="1" i="0" u="none" strike="noStrike">
              <a:solidFill>
                <a:schemeClr val="bg1">
                  <a:lumMod val="65000"/>
                </a:schemeClr>
              </a:solidFill>
              <a:latin typeface="Calibri"/>
              <a:ea typeface="Verdana"/>
              <a:cs typeface="Calibri"/>
            </a:rPr>
            <a:pPr algn="ctr"/>
            <a:t>Front A</a:t>
          </a:fld>
          <a:endParaRPr lang="de-AT" sz="1300" b="1">
            <a:solidFill>
              <a:schemeClr val="bg1">
                <a:lumMod val="65000"/>
              </a:schemeClr>
            </a:solidFill>
          </a:endParaRPr>
        </a:p>
      </xdr:txBody>
    </xdr:sp>
    <xdr:clientData/>
  </xdr:twoCellAnchor>
  <xdr:twoCellAnchor>
    <xdr:from>
      <xdr:col>2</xdr:col>
      <xdr:colOff>33966</xdr:colOff>
      <xdr:row>3</xdr:row>
      <xdr:rowOff>2121154</xdr:rowOff>
    </xdr:from>
    <xdr:to>
      <xdr:col>2</xdr:col>
      <xdr:colOff>258609</xdr:colOff>
      <xdr:row>3</xdr:row>
      <xdr:rowOff>2566043</xdr:rowOff>
    </xdr:to>
    <xdr:sp macro="" textlink="Formeln!BJ26">
      <xdr:nvSpPr>
        <xdr:cNvPr id="345" name="Textfeld 344"/>
        <xdr:cNvSpPr txBox="1"/>
      </xdr:nvSpPr>
      <xdr:spPr>
        <a:xfrm rot="16200000">
          <a:off x="6765278" y="6223494"/>
          <a:ext cx="444889" cy="224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70F7182-6A5D-4727-9972-02929F08D9F4}" type="TxLink">
            <a:rPr lang="en-US" sz="800" b="0" i="0" u="none" strike="noStrike">
              <a:solidFill>
                <a:srgbClr val="000000"/>
              </a:solidFill>
              <a:latin typeface="Calibri"/>
              <a:ea typeface="Verdana"/>
              <a:cs typeface="Calibri"/>
            </a:rPr>
            <a:pPr algn="ctr"/>
            <a:t>140</a:t>
          </a:fld>
          <a:endParaRPr lang="de-AT" sz="800">
            <a:solidFill>
              <a:sysClr val="windowText" lastClr="000000"/>
            </a:solidFill>
          </a:endParaRPr>
        </a:p>
      </xdr:txBody>
    </xdr:sp>
    <xdr:clientData/>
  </xdr:twoCellAnchor>
  <xdr:twoCellAnchor>
    <xdr:from>
      <xdr:col>2</xdr:col>
      <xdr:colOff>1501829</xdr:colOff>
      <xdr:row>3</xdr:row>
      <xdr:rowOff>1504990</xdr:rowOff>
    </xdr:from>
    <xdr:to>
      <xdr:col>2</xdr:col>
      <xdr:colOff>1946495</xdr:colOff>
      <xdr:row>3</xdr:row>
      <xdr:rowOff>1729746</xdr:rowOff>
    </xdr:to>
    <xdr:sp macro="" textlink="Formeln!BI26">
      <xdr:nvSpPr>
        <xdr:cNvPr id="346" name="Textfeld 345"/>
        <xdr:cNvSpPr txBox="1"/>
      </xdr:nvSpPr>
      <xdr:spPr>
        <a:xfrm>
          <a:off x="8343264" y="5497207"/>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2D946D-13DC-4E96-BF05-72E9BFFF0B22}"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clientData/>
  </xdr:twoCellAnchor>
  <xdr:twoCellAnchor>
    <xdr:from>
      <xdr:col>2</xdr:col>
      <xdr:colOff>333220</xdr:colOff>
      <xdr:row>3</xdr:row>
      <xdr:rowOff>2937311</xdr:rowOff>
    </xdr:from>
    <xdr:to>
      <xdr:col>2</xdr:col>
      <xdr:colOff>777886</xdr:colOff>
      <xdr:row>3</xdr:row>
      <xdr:rowOff>3162067</xdr:rowOff>
    </xdr:to>
    <xdr:sp macro="" textlink="Formeln!BH27">
      <xdr:nvSpPr>
        <xdr:cNvPr id="347" name="Textfeld 346"/>
        <xdr:cNvSpPr txBox="1"/>
      </xdr:nvSpPr>
      <xdr:spPr>
        <a:xfrm>
          <a:off x="7174655" y="6929528"/>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E44130F-7935-4833-9590-25D7657372D7}"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2</xdr:col>
      <xdr:colOff>2443141</xdr:colOff>
      <xdr:row>3</xdr:row>
      <xdr:rowOff>2940883</xdr:rowOff>
    </xdr:from>
    <xdr:to>
      <xdr:col>2</xdr:col>
      <xdr:colOff>2887807</xdr:colOff>
      <xdr:row>3</xdr:row>
      <xdr:rowOff>3165639</xdr:rowOff>
    </xdr:to>
    <xdr:sp macro="" textlink="Formeln!BG27">
      <xdr:nvSpPr>
        <xdr:cNvPr id="348" name="Textfeld 347"/>
        <xdr:cNvSpPr txBox="1"/>
      </xdr:nvSpPr>
      <xdr:spPr>
        <a:xfrm>
          <a:off x="9284576" y="6933100"/>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4352A31-FACB-49C0-BE65-0E883808C7A3}"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2</xdr:col>
      <xdr:colOff>2970324</xdr:colOff>
      <xdr:row>3</xdr:row>
      <xdr:rowOff>2557502</xdr:rowOff>
    </xdr:from>
    <xdr:to>
      <xdr:col>2</xdr:col>
      <xdr:colOff>3420325</xdr:colOff>
      <xdr:row>3</xdr:row>
      <xdr:rowOff>2782258</xdr:rowOff>
    </xdr:to>
    <xdr:sp macro="" textlink="Formeln!BD27">
      <xdr:nvSpPr>
        <xdr:cNvPr id="349" name="Textfeld 348"/>
        <xdr:cNvSpPr txBox="1"/>
      </xdr:nvSpPr>
      <xdr:spPr>
        <a:xfrm>
          <a:off x="9811759" y="6549719"/>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4BFAE1A-B50A-4EC4-B7F5-AFF7881500AE}" type="TxLink">
            <a:rPr lang="en-US" sz="800" b="0" i="0" u="none" strike="noStrike">
              <a:solidFill>
                <a:srgbClr val="000000"/>
              </a:solidFill>
              <a:latin typeface="Calibri"/>
              <a:ea typeface="Verdana"/>
              <a:cs typeface="Calibri"/>
            </a:rPr>
            <a:pPr algn="l"/>
            <a:t>64,5</a:t>
          </a:fld>
          <a:endParaRPr lang="de-AT" sz="800">
            <a:solidFill>
              <a:sysClr val="windowText" lastClr="000000"/>
            </a:solidFill>
          </a:endParaRPr>
        </a:p>
      </xdr:txBody>
    </xdr:sp>
    <xdr:clientData/>
  </xdr:twoCellAnchor>
  <xdr:twoCellAnchor>
    <xdr:from>
      <xdr:col>2</xdr:col>
      <xdr:colOff>2973894</xdr:colOff>
      <xdr:row>3</xdr:row>
      <xdr:rowOff>2364621</xdr:rowOff>
    </xdr:from>
    <xdr:to>
      <xdr:col>3</xdr:col>
      <xdr:colOff>3178</xdr:colOff>
      <xdr:row>3</xdr:row>
      <xdr:rowOff>2589377</xdr:rowOff>
    </xdr:to>
    <xdr:sp macro="" textlink="Formeln!BE27">
      <xdr:nvSpPr>
        <xdr:cNvPr id="350" name="Textfeld 349"/>
        <xdr:cNvSpPr txBox="1"/>
      </xdr:nvSpPr>
      <xdr:spPr>
        <a:xfrm>
          <a:off x="9815329" y="6356838"/>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33907E-C741-43F5-8107-330C15B926D0}"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clientData/>
  </xdr:twoCellAnchor>
  <xdr:twoCellAnchor>
    <xdr:from>
      <xdr:col>2</xdr:col>
      <xdr:colOff>2971514</xdr:colOff>
      <xdr:row>3</xdr:row>
      <xdr:rowOff>2136021</xdr:rowOff>
    </xdr:from>
    <xdr:to>
      <xdr:col>3</xdr:col>
      <xdr:colOff>798</xdr:colOff>
      <xdr:row>3</xdr:row>
      <xdr:rowOff>2360777</xdr:rowOff>
    </xdr:to>
    <xdr:sp macro="" textlink="Formeln!BF27">
      <xdr:nvSpPr>
        <xdr:cNvPr id="351" name="Textfeld 350"/>
        <xdr:cNvSpPr txBox="1"/>
      </xdr:nvSpPr>
      <xdr:spPr>
        <a:xfrm>
          <a:off x="9812949" y="6128238"/>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719751-3C37-4C16-A9AA-A465735286F9}" type="TxLink">
            <a:rPr lang="en-US" sz="8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2</xdr:col>
      <xdr:colOff>743780</xdr:colOff>
      <xdr:row>3</xdr:row>
      <xdr:rowOff>2127687</xdr:rowOff>
    </xdr:from>
    <xdr:to>
      <xdr:col>2</xdr:col>
      <xdr:colOff>2428758</xdr:colOff>
      <xdr:row>3</xdr:row>
      <xdr:rowOff>2352443</xdr:rowOff>
    </xdr:to>
    <xdr:sp macro="" textlink="Formeln!BC25">
      <xdr:nvSpPr>
        <xdr:cNvPr id="352" name="Textfeld 351"/>
        <xdr:cNvSpPr txBox="1"/>
      </xdr:nvSpPr>
      <xdr:spPr>
        <a:xfrm>
          <a:off x="7585215" y="6119904"/>
          <a:ext cx="1684978"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A666795-A229-4CC8-B147-39308E46D190}" type="TxLink">
            <a:rPr lang="en-US" sz="1300" b="1" i="0" u="none" strike="noStrike">
              <a:solidFill>
                <a:schemeClr val="bg1">
                  <a:lumMod val="65000"/>
                </a:schemeClr>
              </a:solidFill>
              <a:latin typeface="Calibri"/>
              <a:ea typeface="Verdana"/>
              <a:cs typeface="Calibri"/>
            </a:rPr>
            <a:pPr algn="ctr"/>
            <a:t>Front B</a:t>
          </a:fld>
          <a:endParaRPr lang="de-AT" sz="1300" b="1">
            <a:solidFill>
              <a:schemeClr val="bg1">
                <a:lumMod val="65000"/>
              </a:schemeClr>
            </a:solidFill>
          </a:endParaRPr>
        </a:p>
      </xdr:txBody>
    </xdr:sp>
    <xdr:clientData/>
  </xdr:twoCellAnchor>
  <xdr:twoCellAnchor>
    <xdr:from>
      <xdr:col>2</xdr:col>
      <xdr:colOff>2955</xdr:colOff>
      <xdr:row>3</xdr:row>
      <xdr:rowOff>3968634</xdr:rowOff>
    </xdr:from>
    <xdr:to>
      <xdr:col>2</xdr:col>
      <xdr:colOff>227598</xdr:colOff>
      <xdr:row>3</xdr:row>
      <xdr:rowOff>4550969</xdr:rowOff>
    </xdr:to>
    <xdr:sp macro="" textlink="Formeln!BJ34">
      <xdr:nvSpPr>
        <xdr:cNvPr id="365" name="Textfeld 364"/>
        <xdr:cNvSpPr txBox="1"/>
      </xdr:nvSpPr>
      <xdr:spPr>
        <a:xfrm rot="16200000">
          <a:off x="6659697" y="8136774"/>
          <a:ext cx="582335" cy="224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4A39438-4E6A-44E1-A814-4D65563632A3}"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2</xdr:col>
      <xdr:colOff>1358757</xdr:colOff>
      <xdr:row>3</xdr:row>
      <xdr:rowOff>3386228</xdr:rowOff>
    </xdr:from>
    <xdr:to>
      <xdr:col>2</xdr:col>
      <xdr:colOff>1803423</xdr:colOff>
      <xdr:row>3</xdr:row>
      <xdr:rowOff>3680421</xdr:rowOff>
    </xdr:to>
    <xdr:sp macro="" textlink="Formeln!BI34">
      <xdr:nvSpPr>
        <xdr:cNvPr id="366" name="Textfeld 365"/>
        <xdr:cNvSpPr txBox="1"/>
      </xdr:nvSpPr>
      <xdr:spPr>
        <a:xfrm>
          <a:off x="8194345" y="7375522"/>
          <a:ext cx="444666"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5B690A8-40ED-48EE-81E8-B7EE717F5DD3}"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2</xdr:col>
      <xdr:colOff>313414</xdr:colOff>
      <xdr:row>3</xdr:row>
      <xdr:rowOff>4880055</xdr:rowOff>
    </xdr:from>
    <xdr:to>
      <xdr:col>2</xdr:col>
      <xdr:colOff>758080</xdr:colOff>
      <xdr:row>3</xdr:row>
      <xdr:rowOff>5174248</xdr:rowOff>
    </xdr:to>
    <xdr:sp macro="" textlink="Formeln!BH35">
      <xdr:nvSpPr>
        <xdr:cNvPr id="367" name="Textfeld 366"/>
        <xdr:cNvSpPr txBox="1"/>
      </xdr:nvSpPr>
      <xdr:spPr>
        <a:xfrm>
          <a:off x="7154849" y="8872272"/>
          <a:ext cx="444666"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FD9571-1811-4AA3-B1A6-92AFC79DB266}"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2</xdr:col>
      <xdr:colOff>2423334</xdr:colOff>
      <xdr:row>3</xdr:row>
      <xdr:rowOff>4884731</xdr:rowOff>
    </xdr:from>
    <xdr:to>
      <xdr:col>2</xdr:col>
      <xdr:colOff>2868000</xdr:colOff>
      <xdr:row>3</xdr:row>
      <xdr:rowOff>5178924</xdr:rowOff>
    </xdr:to>
    <xdr:sp macro="" textlink="Formeln!BG35">
      <xdr:nvSpPr>
        <xdr:cNvPr id="368" name="Textfeld 367"/>
        <xdr:cNvSpPr txBox="1"/>
      </xdr:nvSpPr>
      <xdr:spPr>
        <a:xfrm>
          <a:off x="9264769" y="8876948"/>
          <a:ext cx="444666"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9BCCCF-BADA-46D7-A1CC-70390DF9F2EA}"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2</xdr:col>
      <xdr:colOff>2939311</xdr:colOff>
      <xdr:row>3</xdr:row>
      <xdr:rowOff>4472554</xdr:rowOff>
    </xdr:from>
    <xdr:to>
      <xdr:col>2</xdr:col>
      <xdr:colOff>3389312</xdr:colOff>
      <xdr:row>3</xdr:row>
      <xdr:rowOff>4766747</xdr:rowOff>
    </xdr:to>
    <xdr:sp macro="" textlink="Formeln!BD35">
      <xdr:nvSpPr>
        <xdr:cNvPr id="369" name="Textfeld 368"/>
        <xdr:cNvSpPr txBox="1"/>
      </xdr:nvSpPr>
      <xdr:spPr>
        <a:xfrm>
          <a:off x="9774899" y="8461848"/>
          <a:ext cx="450001"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32149-F271-4FE7-9AB8-83A92794B7FD}" type="TxLink">
            <a:rPr lang="en-US" sz="11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2</xdr:col>
      <xdr:colOff>2931676</xdr:colOff>
      <xdr:row>3</xdr:row>
      <xdr:rowOff>4287318</xdr:rowOff>
    </xdr:from>
    <xdr:to>
      <xdr:col>2</xdr:col>
      <xdr:colOff>3381677</xdr:colOff>
      <xdr:row>3</xdr:row>
      <xdr:rowOff>4581511</xdr:rowOff>
    </xdr:to>
    <xdr:sp macro="" textlink="Formeln!BE35">
      <xdr:nvSpPr>
        <xdr:cNvPr id="370" name="Textfeld 369"/>
        <xdr:cNvSpPr txBox="1"/>
      </xdr:nvSpPr>
      <xdr:spPr>
        <a:xfrm>
          <a:off x="9767264" y="8276612"/>
          <a:ext cx="450001"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DEF0155-B440-47E3-954A-B03CDEA21667}" type="TxLink">
            <a:rPr lang="en-US" sz="11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2</xdr:col>
      <xdr:colOff>2929295</xdr:colOff>
      <xdr:row>3</xdr:row>
      <xdr:rowOff>4044123</xdr:rowOff>
    </xdr:from>
    <xdr:to>
      <xdr:col>2</xdr:col>
      <xdr:colOff>3379296</xdr:colOff>
      <xdr:row>3</xdr:row>
      <xdr:rowOff>4338316</xdr:rowOff>
    </xdr:to>
    <xdr:sp macro="" textlink="Formeln!BF35">
      <xdr:nvSpPr>
        <xdr:cNvPr id="371" name="Textfeld 370"/>
        <xdr:cNvSpPr txBox="1"/>
      </xdr:nvSpPr>
      <xdr:spPr>
        <a:xfrm>
          <a:off x="9764883" y="8033417"/>
          <a:ext cx="450001"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B3E1D2-B6BC-4BE6-9466-A757A0AB9DBB}" type="TxLink">
            <a:rPr lang="en-US" sz="11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2</xdr:col>
      <xdr:colOff>735180</xdr:colOff>
      <xdr:row>3</xdr:row>
      <xdr:rowOff>4055626</xdr:rowOff>
    </xdr:from>
    <xdr:to>
      <xdr:col>2</xdr:col>
      <xdr:colOff>2420158</xdr:colOff>
      <xdr:row>3</xdr:row>
      <xdr:rowOff>4349819</xdr:rowOff>
    </xdr:to>
    <xdr:sp macro="" textlink="Formeln!BC33">
      <xdr:nvSpPr>
        <xdr:cNvPr id="372" name="Textfeld 371"/>
        <xdr:cNvSpPr txBox="1"/>
      </xdr:nvSpPr>
      <xdr:spPr>
        <a:xfrm>
          <a:off x="7570768" y="8044920"/>
          <a:ext cx="1684978"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5D7AEE6-847B-4487-A7E6-9C45E116B7DF}" type="TxLink">
            <a:rPr lang="en-US" sz="1300" b="1" i="0" u="none" strike="noStrike">
              <a:solidFill>
                <a:schemeClr val="bg1">
                  <a:lumMod val="65000"/>
                </a:schemeClr>
              </a:solidFill>
              <a:latin typeface="Calibri"/>
              <a:ea typeface="Verdana"/>
              <a:cs typeface="Calibri"/>
            </a:rPr>
            <a:pPr algn="ctr"/>
            <a:t>Front C</a:t>
          </a:fld>
          <a:endParaRPr lang="de-AT" sz="1300" b="1">
            <a:solidFill>
              <a:schemeClr val="bg1">
                <a:lumMod val="65000"/>
              </a:schemeClr>
            </a:solidFill>
          </a:endParaRPr>
        </a:p>
      </xdr:txBody>
    </xdr:sp>
    <xdr:clientData/>
  </xdr:twoCellAnchor>
  <xdr:twoCellAnchor>
    <xdr:from>
      <xdr:col>2</xdr:col>
      <xdr:colOff>3374922</xdr:colOff>
      <xdr:row>2</xdr:row>
      <xdr:rowOff>141447</xdr:rowOff>
    </xdr:from>
    <xdr:to>
      <xdr:col>3</xdr:col>
      <xdr:colOff>3358670</xdr:colOff>
      <xdr:row>3</xdr:row>
      <xdr:rowOff>1988469</xdr:rowOff>
    </xdr:to>
    <xdr:pic>
      <xdr:nvPicPr>
        <xdr:cNvPr id="373" name="Grafik 372"/>
        <xdr:cNvPicPr>
          <a:picLocks noChangeAspect="1"/>
        </xdr:cNvPicPr>
      </xdr:nvPicPr>
      <xdr:blipFill rotWithShape="1">
        <a:blip xmlns:r="http://schemas.openxmlformats.org/officeDocument/2006/relationships" r:embed="rId2"/>
        <a:srcRect l="6559" t="7754" r="3131"/>
        <a:stretch/>
      </xdr:blipFill>
      <xdr:spPr>
        <a:xfrm>
          <a:off x="10216357" y="3943164"/>
          <a:ext cx="3404465" cy="2037522"/>
        </a:xfrm>
        <a:prstGeom prst="rect">
          <a:avLst/>
        </a:prstGeom>
      </xdr:spPr>
    </xdr:pic>
    <xdr:clientData/>
  </xdr:twoCellAnchor>
  <xdr:twoCellAnchor>
    <xdr:from>
      <xdr:col>2</xdr:col>
      <xdr:colOff>3369480</xdr:colOff>
      <xdr:row>3</xdr:row>
      <xdr:rowOff>1477503</xdr:rowOff>
    </xdr:from>
    <xdr:to>
      <xdr:col>3</xdr:col>
      <xdr:colOff>3353229</xdr:colOff>
      <xdr:row>3</xdr:row>
      <xdr:rowOff>3515025</xdr:rowOff>
    </xdr:to>
    <xdr:pic>
      <xdr:nvPicPr>
        <xdr:cNvPr id="374" name="Grafik 373"/>
        <xdr:cNvPicPr>
          <a:picLocks noChangeAspect="1"/>
        </xdr:cNvPicPr>
      </xdr:nvPicPr>
      <xdr:blipFill rotWithShape="1">
        <a:blip xmlns:r="http://schemas.openxmlformats.org/officeDocument/2006/relationships" r:embed="rId2"/>
        <a:srcRect l="6559" t="7754" r="3131"/>
        <a:stretch/>
      </xdr:blipFill>
      <xdr:spPr>
        <a:xfrm>
          <a:off x="10210915" y="5469720"/>
          <a:ext cx="3404466" cy="2037522"/>
        </a:xfrm>
        <a:prstGeom prst="rect">
          <a:avLst/>
        </a:prstGeom>
        <a:noFill/>
        <a:ln w="9525" cmpd="sng">
          <a:noFill/>
        </a:ln>
      </xdr:spPr>
    </xdr:pic>
    <xdr:clientData/>
  </xdr:twoCellAnchor>
  <xdr:twoCellAnchor>
    <xdr:from>
      <xdr:col>2</xdr:col>
      <xdr:colOff>3405461</xdr:colOff>
      <xdr:row>3</xdr:row>
      <xdr:rowOff>631042</xdr:rowOff>
    </xdr:from>
    <xdr:to>
      <xdr:col>3</xdr:col>
      <xdr:colOff>209387</xdr:colOff>
      <xdr:row>3</xdr:row>
      <xdr:rowOff>1075931</xdr:rowOff>
    </xdr:to>
    <xdr:sp macro="" textlink="Formeln!BJ18">
      <xdr:nvSpPr>
        <xdr:cNvPr id="376" name="Textfeld 375"/>
        <xdr:cNvSpPr txBox="1"/>
      </xdr:nvSpPr>
      <xdr:spPr>
        <a:xfrm rot="16200000">
          <a:off x="10136773" y="4733382"/>
          <a:ext cx="444889" cy="224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D7DC86-1C58-4CC1-B2FE-A6DBD9CBEED6}" type="TxLink">
            <a:rPr lang="en-US" sz="800" b="0" i="0" u="none" strike="noStrike">
              <a:solidFill>
                <a:srgbClr val="000000"/>
              </a:solidFill>
              <a:latin typeface="Calibri"/>
              <a:ea typeface="Verdana"/>
              <a:cs typeface="Calibri"/>
            </a:rPr>
            <a:pPr algn="ctr"/>
            <a:t>560</a:t>
          </a:fld>
          <a:endParaRPr lang="de-AT" sz="800">
            <a:solidFill>
              <a:sysClr val="windowText" lastClr="000000"/>
            </a:solidFill>
          </a:endParaRPr>
        </a:p>
      </xdr:txBody>
    </xdr:sp>
    <xdr:clientData/>
  </xdr:twoCellAnchor>
  <xdr:twoCellAnchor>
    <xdr:from>
      <xdr:col>3</xdr:col>
      <xdr:colOff>1452606</xdr:colOff>
      <xdr:row>3</xdr:row>
      <xdr:rowOff>14878</xdr:rowOff>
    </xdr:from>
    <xdr:to>
      <xdr:col>3</xdr:col>
      <xdr:colOff>1897272</xdr:colOff>
      <xdr:row>3</xdr:row>
      <xdr:rowOff>239634</xdr:rowOff>
    </xdr:to>
    <xdr:sp macro="" textlink="Formeln!BI18">
      <xdr:nvSpPr>
        <xdr:cNvPr id="377" name="Textfeld 376"/>
        <xdr:cNvSpPr txBox="1"/>
      </xdr:nvSpPr>
      <xdr:spPr>
        <a:xfrm>
          <a:off x="11714758" y="4007095"/>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B07BBA8-2955-4C09-BBA0-96F6E173A504}"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clientData/>
  </xdr:twoCellAnchor>
  <xdr:twoCellAnchor>
    <xdr:from>
      <xdr:col>3</xdr:col>
      <xdr:colOff>283998</xdr:colOff>
      <xdr:row>3</xdr:row>
      <xdr:rowOff>1447199</xdr:rowOff>
    </xdr:from>
    <xdr:to>
      <xdr:col>3</xdr:col>
      <xdr:colOff>728664</xdr:colOff>
      <xdr:row>3</xdr:row>
      <xdr:rowOff>1671955</xdr:rowOff>
    </xdr:to>
    <xdr:sp macro="" textlink="Formeln!BH19">
      <xdr:nvSpPr>
        <xdr:cNvPr id="378" name="Textfeld 377"/>
        <xdr:cNvSpPr txBox="1"/>
      </xdr:nvSpPr>
      <xdr:spPr>
        <a:xfrm>
          <a:off x="10546150" y="5439416"/>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3F54901-A0A5-480D-856E-DFED00D56D40}"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3</xdr:col>
      <xdr:colOff>2393918</xdr:colOff>
      <xdr:row>3</xdr:row>
      <xdr:rowOff>1450771</xdr:rowOff>
    </xdr:from>
    <xdr:to>
      <xdr:col>3</xdr:col>
      <xdr:colOff>2838584</xdr:colOff>
      <xdr:row>3</xdr:row>
      <xdr:rowOff>1675527</xdr:rowOff>
    </xdr:to>
    <xdr:sp macro="" textlink="Formeln!BG19">
      <xdr:nvSpPr>
        <xdr:cNvPr id="379" name="Textfeld 378"/>
        <xdr:cNvSpPr txBox="1"/>
      </xdr:nvSpPr>
      <xdr:spPr>
        <a:xfrm>
          <a:off x="12656070" y="5442988"/>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66B1B31-A0BD-4A0D-B1C6-81FFFA6333A2}"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3</xdr:col>
      <xdr:colOff>2921101</xdr:colOff>
      <xdr:row>3</xdr:row>
      <xdr:rowOff>1067390</xdr:rowOff>
    </xdr:from>
    <xdr:to>
      <xdr:col>3</xdr:col>
      <xdr:colOff>3371102</xdr:colOff>
      <xdr:row>3</xdr:row>
      <xdr:rowOff>1292146</xdr:rowOff>
    </xdr:to>
    <xdr:sp macro="" textlink="Formeln!BD19">
      <xdr:nvSpPr>
        <xdr:cNvPr id="380" name="Textfeld 379"/>
        <xdr:cNvSpPr txBox="1"/>
      </xdr:nvSpPr>
      <xdr:spPr>
        <a:xfrm>
          <a:off x="13183253" y="5059607"/>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95417DD-6172-4AD4-ABC1-27466542FAC2}" type="TxLink">
            <a:rPr lang="en-US" sz="800" b="0" i="0" u="none" strike="noStrike">
              <a:solidFill>
                <a:srgbClr val="000000"/>
              </a:solidFill>
              <a:latin typeface="Calibri"/>
              <a:ea typeface="Verdana"/>
              <a:cs typeface="Calibri"/>
            </a:rPr>
            <a:pPr algn="l"/>
            <a:t>75,5</a:t>
          </a:fld>
          <a:endParaRPr lang="de-AT" sz="800">
            <a:solidFill>
              <a:sysClr val="windowText" lastClr="000000"/>
            </a:solidFill>
          </a:endParaRPr>
        </a:p>
      </xdr:txBody>
    </xdr:sp>
    <xdr:clientData/>
  </xdr:twoCellAnchor>
  <xdr:twoCellAnchor>
    <xdr:from>
      <xdr:col>3</xdr:col>
      <xdr:colOff>2924671</xdr:colOff>
      <xdr:row>3</xdr:row>
      <xdr:rowOff>874509</xdr:rowOff>
    </xdr:from>
    <xdr:to>
      <xdr:col>3</xdr:col>
      <xdr:colOff>3374672</xdr:colOff>
      <xdr:row>3</xdr:row>
      <xdr:rowOff>1099265</xdr:rowOff>
    </xdr:to>
    <xdr:sp macro="" textlink="Formeln!BE19">
      <xdr:nvSpPr>
        <xdr:cNvPr id="381" name="Textfeld 380"/>
        <xdr:cNvSpPr txBox="1"/>
      </xdr:nvSpPr>
      <xdr:spPr>
        <a:xfrm>
          <a:off x="13186823" y="4866726"/>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D6916C-14F7-400C-98FA-AAFF6DEB9A62}"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clientData/>
  </xdr:twoCellAnchor>
  <xdr:twoCellAnchor>
    <xdr:from>
      <xdr:col>3</xdr:col>
      <xdr:colOff>2922291</xdr:colOff>
      <xdr:row>3</xdr:row>
      <xdr:rowOff>645909</xdr:rowOff>
    </xdr:from>
    <xdr:to>
      <xdr:col>3</xdr:col>
      <xdr:colOff>3372292</xdr:colOff>
      <xdr:row>3</xdr:row>
      <xdr:rowOff>870665</xdr:rowOff>
    </xdr:to>
    <xdr:sp macro="" textlink="Formeln!BF19">
      <xdr:nvSpPr>
        <xdr:cNvPr id="382" name="Textfeld 381"/>
        <xdr:cNvSpPr txBox="1"/>
      </xdr:nvSpPr>
      <xdr:spPr>
        <a:xfrm>
          <a:off x="13184443" y="4638126"/>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69888E7-415F-44CE-898D-F3524F4AE012}" type="TxLink">
            <a:rPr lang="en-US" sz="800" b="0" i="0" u="none" strike="noStrike">
              <a:solidFill>
                <a:srgbClr val="000000"/>
              </a:solidFill>
              <a:latin typeface="Calibri"/>
              <a:ea typeface="Verdana"/>
              <a:cs typeface="Calibri"/>
            </a:rPr>
            <a:pPr algn="l"/>
            <a:t>96</a:t>
          </a:fld>
          <a:endParaRPr lang="de-AT" sz="800">
            <a:solidFill>
              <a:sysClr val="windowText" lastClr="000000"/>
            </a:solidFill>
          </a:endParaRPr>
        </a:p>
      </xdr:txBody>
    </xdr:sp>
    <xdr:clientData/>
  </xdr:twoCellAnchor>
  <xdr:twoCellAnchor>
    <xdr:from>
      <xdr:col>3</xdr:col>
      <xdr:colOff>694558</xdr:colOff>
      <xdr:row>3</xdr:row>
      <xdr:rowOff>637575</xdr:rowOff>
    </xdr:from>
    <xdr:to>
      <xdr:col>3</xdr:col>
      <xdr:colOff>2379536</xdr:colOff>
      <xdr:row>3</xdr:row>
      <xdr:rowOff>862331</xdr:rowOff>
    </xdr:to>
    <xdr:sp macro="" textlink="Formeln!BC17">
      <xdr:nvSpPr>
        <xdr:cNvPr id="383" name="Textfeld 382"/>
        <xdr:cNvSpPr txBox="1"/>
      </xdr:nvSpPr>
      <xdr:spPr>
        <a:xfrm>
          <a:off x="10956710" y="4629792"/>
          <a:ext cx="1684978"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A8B8946-CF2C-49C1-9B37-064CDE5D636F}" type="TxLink">
            <a:rPr lang="en-US" sz="1300" b="1" i="0" u="none" strike="noStrike">
              <a:solidFill>
                <a:schemeClr val="bg1">
                  <a:lumMod val="65000"/>
                </a:schemeClr>
              </a:solidFill>
              <a:latin typeface="Calibri"/>
              <a:ea typeface="Verdana"/>
              <a:cs typeface="Calibri"/>
            </a:rPr>
            <a:pPr algn="ctr"/>
            <a:t>Front A</a:t>
          </a:fld>
          <a:endParaRPr lang="de-AT" sz="1300" b="1">
            <a:solidFill>
              <a:schemeClr val="bg1">
                <a:lumMod val="65000"/>
              </a:schemeClr>
            </a:solidFill>
          </a:endParaRPr>
        </a:p>
      </xdr:txBody>
    </xdr:sp>
    <xdr:clientData/>
  </xdr:twoCellAnchor>
  <xdr:twoCellAnchor>
    <xdr:from>
      <xdr:col>2</xdr:col>
      <xdr:colOff>3400019</xdr:colOff>
      <xdr:row>3</xdr:row>
      <xdr:rowOff>2157598</xdr:rowOff>
    </xdr:from>
    <xdr:to>
      <xdr:col>3</xdr:col>
      <xdr:colOff>203945</xdr:colOff>
      <xdr:row>3</xdr:row>
      <xdr:rowOff>2602487</xdr:rowOff>
    </xdr:to>
    <xdr:sp macro="" textlink="Formeln!BJ26">
      <xdr:nvSpPr>
        <xdr:cNvPr id="384" name="Textfeld 383"/>
        <xdr:cNvSpPr txBox="1"/>
      </xdr:nvSpPr>
      <xdr:spPr>
        <a:xfrm rot="16200000">
          <a:off x="10131331" y="6259938"/>
          <a:ext cx="444889" cy="224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70F7182-6A5D-4727-9972-02929F08D9F4}" type="TxLink">
            <a:rPr lang="en-US" sz="800" b="0" i="0" u="none" strike="noStrike">
              <a:solidFill>
                <a:srgbClr val="000000"/>
              </a:solidFill>
              <a:latin typeface="Calibri"/>
              <a:ea typeface="Verdana"/>
              <a:cs typeface="Calibri"/>
            </a:rPr>
            <a:pPr algn="ctr"/>
            <a:t>140</a:t>
          </a:fld>
          <a:endParaRPr lang="de-AT" sz="800">
            <a:solidFill>
              <a:sysClr val="windowText" lastClr="000000"/>
            </a:solidFill>
          </a:endParaRPr>
        </a:p>
      </xdr:txBody>
    </xdr:sp>
    <xdr:clientData/>
  </xdr:twoCellAnchor>
  <xdr:twoCellAnchor>
    <xdr:from>
      <xdr:col>3</xdr:col>
      <xdr:colOff>1447165</xdr:colOff>
      <xdr:row>3</xdr:row>
      <xdr:rowOff>1541434</xdr:rowOff>
    </xdr:from>
    <xdr:to>
      <xdr:col>3</xdr:col>
      <xdr:colOff>1891831</xdr:colOff>
      <xdr:row>3</xdr:row>
      <xdr:rowOff>1766190</xdr:rowOff>
    </xdr:to>
    <xdr:sp macro="" textlink="Formeln!BI26">
      <xdr:nvSpPr>
        <xdr:cNvPr id="385" name="Textfeld 384"/>
        <xdr:cNvSpPr txBox="1"/>
      </xdr:nvSpPr>
      <xdr:spPr>
        <a:xfrm>
          <a:off x="11709317" y="5533651"/>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2D946D-13DC-4E96-BF05-72E9BFFF0B22}" type="TxLink">
            <a:rPr lang="en-US" sz="800" b="0" i="0" u="none" strike="noStrike">
              <a:solidFill>
                <a:srgbClr val="000000"/>
              </a:solidFill>
              <a:latin typeface="Calibri"/>
              <a:ea typeface="Verdana"/>
              <a:cs typeface="Calibri"/>
            </a:rPr>
            <a:pPr algn="ctr"/>
            <a:t>598</a:t>
          </a:fld>
          <a:endParaRPr lang="de-AT" sz="800">
            <a:solidFill>
              <a:sysClr val="windowText" lastClr="000000"/>
            </a:solidFill>
          </a:endParaRPr>
        </a:p>
      </xdr:txBody>
    </xdr:sp>
    <xdr:clientData/>
  </xdr:twoCellAnchor>
  <xdr:twoCellAnchor>
    <xdr:from>
      <xdr:col>3</xdr:col>
      <xdr:colOff>278556</xdr:colOff>
      <xdr:row>3</xdr:row>
      <xdr:rowOff>2973755</xdr:rowOff>
    </xdr:from>
    <xdr:to>
      <xdr:col>3</xdr:col>
      <xdr:colOff>723222</xdr:colOff>
      <xdr:row>3</xdr:row>
      <xdr:rowOff>3198511</xdr:rowOff>
    </xdr:to>
    <xdr:sp macro="" textlink="Formeln!BH27">
      <xdr:nvSpPr>
        <xdr:cNvPr id="386" name="Textfeld 385"/>
        <xdr:cNvSpPr txBox="1"/>
      </xdr:nvSpPr>
      <xdr:spPr>
        <a:xfrm>
          <a:off x="10540708" y="6965972"/>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E44130F-7935-4833-9590-25D7657372D7}"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3</xdr:col>
      <xdr:colOff>2388477</xdr:colOff>
      <xdr:row>3</xdr:row>
      <xdr:rowOff>2977327</xdr:rowOff>
    </xdr:from>
    <xdr:to>
      <xdr:col>3</xdr:col>
      <xdr:colOff>2833143</xdr:colOff>
      <xdr:row>3</xdr:row>
      <xdr:rowOff>3202083</xdr:rowOff>
    </xdr:to>
    <xdr:sp macro="" textlink="Formeln!BG27">
      <xdr:nvSpPr>
        <xdr:cNvPr id="387" name="Textfeld 386"/>
        <xdr:cNvSpPr txBox="1"/>
      </xdr:nvSpPr>
      <xdr:spPr>
        <a:xfrm>
          <a:off x="12650629" y="6969544"/>
          <a:ext cx="44466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4352A31-FACB-49C0-BE65-0E883808C7A3}" type="TxLink">
            <a:rPr lang="en-US" sz="800" b="0" i="0" u="none" strike="noStrike">
              <a:solidFill>
                <a:srgbClr val="000000"/>
              </a:solidFill>
              <a:latin typeface="Calibri"/>
              <a:ea typeface="Verdana"/>
              <a:cs typeface="Calibri"/>
            </a:rPr>
            <a:pPr algn="ctr"/>
            <a:t>31,5</a:t>
          </a:fld>
          <a:endParaRPr lang="de-AT" sz="800">
            <a:solidFill>
              <a:sysClr val="windowText" lastClr="000000"/>
            </a:solidFill>
          </a:endParaRPr>
        </a:p>
      </xdr:txBody>
    </xdr:sp>
    <xdr:clientData/>
  </xdr:twoCellAnchor>
  <xdr:twoCellAnchor>
    <xdr:from>
      <xdr:col>3</xdr:col>
      <xdr:colOff>2915660</xdr:colOff>
      <xdr:row>3</xdr:row>
      <xdr:rowOff>2593946</xdr:rowOff>
    </xdr:from>
    <xdr:to>
      <xdr:col>3</xdr:col>
      <xdr:colOff>3365661</xdr:colOff>
      <xdr:row>3</xdr:row>
      <xdr:rowOff>2818702</xdr:rowOff>
    </xdr:to>
    <xdr:sp macro="" textlink="Formeln!BD27">
      <xdr:nvSpPr>
        <xdr:cNvPr id="388" name="Textfeld 387"/>
        <xdr:cNvSpPr txBox="1"/>
      </xdr:nvSpPr>
      <xdr:spPr>
        <a:xfrm>
          <a:off x="13177812" y="6586163"/>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4BFAE1A-B50A-4EC4-B7F5-AFF7881500AE}" type="TxLink">
            <a:rPr lang="en-US" sz="800" b="0" i="0" u="none" strike="noStrike">
              <a:solidFill>
                <a:srgbClr val="000000"/>
              </a:solidFill>
              <a:latin typeface="Calibri"/>
              <a:ea typeface="Verdana"/>
              <a:cs typeface="Calibri"/>
            </a:rPr>
            <a:pPr algn="l"/>
            <a:t>64,5</a:t>
          </a:fld>
          <a:endParaRPr lang="de-AT" sz="800">
            <a:solidFill>
              <a:sysClr val="windowText" lastClr="000000"/>
            </a:solidFill>
          </a:endParaRPr>
        </a:p>
      </xdr:txBody>
    </xdr:sp>
    <xdr:clientData/>
  </xdr:twoCellAnchor>
  <xdr:twoCellAnchor>
    <xdr:from>
      <xdr:col>3</xdr:col>
      <xdr:colOff>2919230</xdr:colOff>
      <xdr:row>3</xdr:row>
      <xdr:rowOff>2401065</xdr:rowOff>
    </xdr:from>
    <xdr:to>
      <xdr:col>3</xdr:col>
      <xdr:colOff>3369231</xdr:colOff>
      <xdr:row>3</xdr:row>
      <xdr:rowOff>2625821</xdr:rowOff>
    </xdr:to>
    <xdr:sp macro="" textlink="Formeln!BE27">
      <xdr:nvSpPr>
        <xdr:cNvPr id="389" name="Textfeld 388"/>
        <xdr:cNvSpPr txBox="1"/>
      </xdr:nvSpPr>
      <xdr:spPr>
        <a:xfrm>
          <a:off x="13181382" y="6393282"/>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33907E-C741-43F5-8107-330C15B926D0}" type="TxLink">
            <a:rPr lang="en-US" sz="800" b="0" i="0" u="none" strike="noStrike">
              <a:solidFill>
                <a:srgbClr val="000000"/>
              </a:solidFill>
              <a:latin typeface="Calibri"/>
              <a:ea typeface="Verdana"/>
              <a:cs typeface="Calibri"/>
            </a:rPr>
            <a:pPr algn="l"/>
            <a:t>32</a:t>
          </a:fld>
          <a:endParaRPr lang="de-AT" sz="800">
            <a:solidFill>
              <a:sysClr val="windowText" lastClr="000000"/>
            </a:solidFill>
          </a:endParaRPr>
        </a:p>
      </xdr:txBody>
    </xdr:sp>
    <xdr:clientData/>
  </xdr:twoCellAnchor>
  <xdr:twoCellAnchor>
    <xdr:from>
      <xdr:col>3</xdr:col>
      <xdr:colOff>2916850</xdr:colOff>
      <xdr:row>3</xdr:row>
      <xdr:rowOff>2172465</xdr:rowOff>
    </xdr:from>
    <xdr:to>
      <xdr:col>3</xdr:col>
      <xdr:colOff>3366851</xdr:colOff>
      <xdr:row>3</xdr:row>
      <xdr:rowOff>2397221</xdr:rowOff>
    </xdr:to>
    <xdr:sp macro="" textlink="Formeln!BF27">
      <xdr:nvSpPr>
        <xdr:cNvPr id="390" name="Textfeld 389"/>
        <xdr:cNvSpPr txBox="1"/>
      </xdr:nvSpPr>
      <xdr:spPr>
        <a:xfrm>
          <a:off x="13179002" y="6164682"/>
          <a:ext cx="45000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719751-3C37-4C16-A9AA-A465735286F9}" type="TxLink">
            <a:rPr lang="en-US" sz="8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3</xdr:col>
      <xdr:colOff>689116</xdr:colOff>
      <xdr:row>3</xdr:row>
      <xdr:rowOff>2164131</xdr:rowOff>
    </xdr:from>
    <xdr:to>
      <xdr:col>3</xdr:col>
      <xdr:colOff>2374094</xdr:colOff>
      <xdr:row>3</xdr:row>
      <xdr:rowOff>2388887</xdr:rowOff>
    </xdr:to>
    <xdr:sp macro="" textlink="Formeln!BC25">
      <xdr:nvSpPr>
        <xdr:cNvPr id="391" name="Textfeld 390"/>
        <xdr:cNvSpPr txBox="1"/>
      </xdr:nvSpPr>
      <xdr:spPr>
        <a:xfrm>
          <a:off x="10951268" y="6156348"/>
          <a:ext cx="1684978"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A666795-A229-4CC8-B147-39308E46D190}" type="TxLink">
            <a:rPr lang="en-US" sz="1300" b="1" i="0" u="none" strike="noStrike">
              <a:solidFill>
                <a:schemeClr val="bg1">
                  <a:lumMod val="65000"/>
                </a:schemeClr>
              </a:solidFill>
              <a:latin typeface="Calibri"/>
              <a:ea typeface="Verdana"/>
              <a:cs typeface="Calibri"/>
            </a:rPr>
            <a:pPr algn="ctr"/>
            <a:t>Front B</a:t>
          </a:fld>
          <a:endParaRPr lang="de-AT" sz="1300" b="1">
            <a:solidFill>
              <a:schemeClr val="bg1">
                <a:lumMod val="65000"/>
              </a:schemeClr>
            </a:solidFill>
          </a:endParaRPr>
        </a:p>
      </xdr:txBody>
    </xdr:sp>
    <xdr:clientData/>
  </xdr:twoCellAnchor>
  <xdr:twoCellAnchor>
    <xdr:from>
      <xdr:col>2</xdr:col>
      <xdr:colOff>3391420</xdr:colOff>
      <xdr:row>3</xdr:row>
      <xdr:rowOff>3982666</xdr:rowOff>
    </xdr:from>
    <xdr:to>
      <xdr:col>3</xdr:col>
      <xdr:colOff>195346</xdr:colOff>
      <xdr:row>3</xdr:row>
      <xdr:rowOff>4565001</xdr:rowOff>
    </xdr:to>
    <xdr:sp macro="" textlink="Formeln!BJ34">
      <xdr:nvSpPr>
        <xdr:cNvPr id="392" name="Textfeld 391"/>
        <xdr:cNvSpPr txBox="1"/>
      </xdr:nvSpPr>
      <xdr:spPr>
        <a:xfrm rot="16200000">
          <a:off x="10046700" y="8152268"/>
          <a:ext cx="582335" cy="22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4A39438-4E6A-44E1-A814-4D65563632A3}"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1393740</xdr:colOff>
      <xdr:row>3</xdr:row>
      <xdr:rowOff>3377848</xdr:rowOff>
    </xdr:from>
    <xdr:to>
      <xdr:col>3</xdr:col>
      <xdr:colOff>1838406</xdr:colOff>
      <xdr:row>3</xdr:row>
      <xdr:rowOff>3672041</xdr:rowOff>
    </xdr:to>
    <xdr:sp macro="" textlink="Formeln!BI34">
      <xdr:nvSpPr>
        <xdr:cNvPr id="393" name="Textfeld 392"/>
        <xdr:cNvSpPr txBox="1"/>
      </xdr:nvSpPr>
      <xdr:spPr>
        <a:xfrm>
          <a:off x="11647122" y="7367142"/>
          <a:ext cx="444666"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5B690A8-40ED-48EE-81E8-B7EE717F5DD3}"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258750</xdr:colOff>
      <xdr:row>3</xdr:row>
      <xdr:rowOff>4916499</xdr:rowOff>
    </xdr:from>
    <xdr:to>
      <xdr:col>3</xdr:col>
      <xdr:colOff>703416</xdr:colOff>
      <xdr:row>4</xdr:row>
      <xdr:rowOff>9213</xdr:rowOff>
    </xdr:to>
    <xdr:sp macro="" textlink="Formeln!BH35">
      <xdr:nvSpPr>
        <xdr:cNvPr id="394" name="Textfeld 393"/>
        <xdr:cNvSpPr txBox="1"/>
      </xdr:nvSpPr>
      <xdr:spPr>
        <a:xfrm>
          <a:off x="10520902" y="8908716"/>
          <a:ext cx="444666"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FD9571-1811-4AA3-B1A6-92AFC79DB266}"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2368670</xdr:colOff>
      <xdr:row>3</xdr:row>
      <xdr:rowOff>4921175</xdr:rowOff>
    </xdr:from>
    <xdr:to>
      <xdr:col>3</xdr:col>
      <xdr:colOff>2813336</xdr:colOff>
      <xdr:row>4</xdr:row>
      <xdr:rowOff>13889</xdr:rowOff>
    </xdr:to>
    <xdr:sp macro="" textlink="Formeln!BG35">
      <xdr:nvSpPr>
        <xdr:cNvPr id="395" name="Textfeld 394"/>
        <xdr:cNvSpPr txBox="1"/>
      </xdr:nvSpPr>
      <xdr:spPr>
        <a:xfrm>
          <a:off x="12630822" y="8913392"/>
          <a:ext cx="444666"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9BCCCF-BADA-46D7-A1CC-70390DF9F2EA}"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2907059</xdr:colOff>
      <xdr:row>3</xdr:row>
      <xdr:rowOff>4452969</xdr:rowOff>
    </xdr:from>
    <xdr:to>
      <xdr:col>3</xdr:col>
      <xdr:colOff>3357060</xdr:colOff>
      <xdr:row>3</xdr:row>
      <xdr:rowOff>4747162</xdr:rowOff>
    </xdr:to>
    <xdr:sp macro="" textlink="Formeln!BD35">
      <xdr:nvSpPr>
        <xdr:cNvPr id="396" name="Textfeld 395"/>
        <xdr:cNvSpPr txBox="1"/>
      </xdr:nvSpPr>
      <xdr:spPr>
        <a:xfrm>
          <a:off x="13160441" y="8442263"/>
          <a:ext cx="450001"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32149-F271-4FE7-9AB8-83A92794B7FD}" type="TxLink">
            <a:rPr lang="en-US" sz="8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3</xdr:col>
      <xdr:colOff>2899423</xdr:colOff>
      <xdr:row>3</xdr:row>
      <xdr:rowOff>4267733</xdr:rowOff>
    </xdr:from>
    <xdr:to>
      <xdr:col>3</xdr:col>
      <xdr:colOff>3349424</xdr:colOff>
      <xdr:row>3</xdr:row>
      <xdr:rowOff>4561926</xdr:rowOff>
    </xdr:to>
    <xdr:sp macro="" textlink="Formeln!BE35">
      <xdr:nvSpPr>
        <xdr:cNvPr id="397" name="Textfeld 396"/>
        <xdr:cNvSpPr txBox="1"/>
      </xdr:nvSpPr>
      <xdr:spPr>
        <a:xfrm>
          <a:off x="13152805" y="8257027"/>
          <a:ext cx="450001"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DEF0155-B440-47E3-954A-B03CDEA21667}" type="TxLink">
            <a:rPr lang="en-US" sz="8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3</xdr:col>
      <xdr:colOff>2897043</xdr:colOff>
      <xdr:row>3</xdr:row>
      <xdr:rowOff>4035744</xdr:rowOff>
    </xdr:from>
    <xdr:to>
      <xdr:col>3</xdr:col>
      <xdr:colOff>3347044</xdr:colOff>
      <xdr:row>3</xdr:row>
      <xdr:rowOff>4329937</xdr:rowOff>
    </xdr:to>
    <xdr:sp macro="" textlink="Formeln!BF35">
      <xdr:nvSpPr>
        <xdr:cNvPr id="398" name="Textfeld 397"/>
        <xdr:cNvSpPr txBox="1"/>
      </xdr:nvSpPr>
      <xdr:spPr>
        <a:xfrm>
          <a:off x="13150425" y="8025038"/>
          <a:ext cx="450001"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B3E1D2-B6BC-4BE6-9466-A757A0AB9DBB}" type="TxLink">
            <a:rPr lang="en-US" sz="800" b="0" i="0" u="none" strike="noStrike">
              <a:solidFill>
                <a:srgbClr val="000000"/>
              </a:solidFill>
              <a:latin typeface="Calibri"/>
              <a:ea typeface="Verdana"/>
              <a:cs typeface="Calibri"/>
            </a:rPr>
            <a:pPr algn="l"/>
            <a:t>-</a:t>
          </a:fld>
          <a:endParaRPr lang="de-AT" sz="800">
            <a:solidFill>
              <a:sysClr val="windowText" lastClr="000000"/>
            </a:solidFill>
          </a:endParaRPr>
        </a:p>
      </xdr:txBody>
    </xdr:sp>
    <xdr:clientData/>
  </xdr:twoCellAnchor>
  <xdr:twoCellAnchor>
    <xdr:from>
      <xdr:col>3</xdr:col>
      <xdr:colOff>669310</xdr:colOff>
      <xdr:row>3</xdr:row>
      <xdr:rowOff>4036041</xdr:rowOff>
    </xdr:from>
    <xdr:to>
      <xdr:col>3</xdr:col>
      <xdr:colOff>2354288</xdr:colOff>
      <xdr:row>3</xdr:row>
      <xdr:rowOff>4330234</xdr:rowOff>
    </xdr:to>
    <xdr:sp macro="" textlink="Formeln!BC33">
      <xdr:nvSpPr>
        <xdr:cNvPr id="399" name="Textfeld 398"/>
        <xdr:cNvSpPr txBox="1"/>
      </xdr:nvSpPr>
      <xdr:spPr>
        <a:xfrm>
          <a:off x="10922692" y="8025335"/>
          <a:ext cx="1684978" cy="29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5D7AEE6-847B-4487-A7E6-9C45E116B7DF}" type="TxLink">
            <a:rPr lang="en-US" sz="1300" b="1" i="0" u="none" strike="noStrike">
              <a:solidFill>
                <a:schemeClr val="bg1">
                  <a:lumMod val="65000"/>
                </a:schemeClr>
              </a:solidFill>
              <a:latin typeface="Calibri"/>
              <a:ea typeface="Verdana"/>
              <a:cs typeface="Calibri"/>
            </a:rPr>
            <a:pPr algn="ctr"/>
            <a:t>Front C</a:t>
          </a:fld>
          <a:endParaRPr lang="de-AT" sz="1300" b="1">
            <a:solidFill>
              <a:schemeClr val="bg1">
                <a:lumMod val="65000"/>
              </a:schemeClr>
            </a:solidFill>
          </a:endParaRPr>
        </a:p>
      </xdr:txBody>
    </xdr:sp>
    <xdr:clientData/>
  </xdr:twoCellAnchor>
  <xdr:twoCellAnchor>
    <xdr:from>
      <xdr:col>2</xdr:col>
      <xdr:colOff>3400741</xdr:colOff>
      <xdr:row>4</xdr:row>
      <xdr:rowOff>95249</xdr:rowOff>
    </xdr:from>
    <xdr:to>
      <xdr:col>3</xdr:col>
      <xdr:colOff>3384429</xdr:colOff>
      <xdr:row>4</xdr:row>
      <xdr:rowOff>2076448</xdr:rowOff>
    </xdr:to>
    <xdr:grpSp>
      <xdr:nvGrpSpPr>
        <xdr:cNvPr id="400" name="Gruppieren 399"/>
        <xdr:cNvGrpSpPr/>
      </xdr:nvGrpSpPr>
      <xdr:grpSpPr>
        <a:xfrm>
          <a:off x="10239691" y="9286874"/>
          <a:ext cx="3403163" cy="1981199"/>
          <a:chOff x="8282" y="4090993"/>
          <a:chExt cx="3406171" cy="1651627"/>
        </a:xfrm>
      </xdr:grpSpPr>
      <xdr:pic>
        <xdr:nvPicPr>
          <xdr:cNvPr id="401" name="Grafik 400"/>
          <xdr:cNvPicPr>
            <a:picLocks noChangeAspect="1"/>
          </xdr:cNvPicPr>
        </xdr:nvPicPr>
        <xdr:blipFill rotWithShape="1">
          <a:blip xmlns:r="http://schemas.openxmlformats.org/officeDocument/2006/relationships" r:embed="rId2"/>
          <a:srcRect l="6559" t="14695" r="3131"/>
          <a:stretch/>
        </xdr:blipFill>
        <xdr:spPr>
          <a:xfrm>
            <a:off x="8282" y="4186280"/>
            <a:ext cx="3406171" cy="1556340"/>
          </a:xfrm>
          <a:prstGeom prst="rect">
            <a:avLst/>
          </a:prstGeom>
        </xdr:spPr>
      </xdr:pic>
      <xdr:sp macro="" textlink="Formeln!BJ42">
        <xdr:nvSpPr>
          <xdr:cNvPr id="402" name="Textfeld 401"/>
          <xdr:cNvSpPr txBox="1"/>
        </xdr:nvSpPr>
        <xdr:spPr>
          <a:xfrm rot="16200000">
            <a:off x="-71230" y="4690176"/>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0D5444D-3011-4F56-8DC3-43A75A0AF40F}"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I42">
        <xdr:nvSpPr>
          <xdr:cNvPr id="403" name="Textfeld 402"/>
          <xdr:cNvSpPr txBox="1"/>
        </xdr:nvSpPr>
        <xdr:spPr>
          <a:xfrm>
            <a:off x="1507434" y="409099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23B96F5-0797-43F6-9753-1B65D829ED0C}"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H43">
        <xdr:nvSpPr>
          <xdr:cNvPr id="404" name="Textfeld 403"/>
          <xdr:cNvSpPr txBox="1"/>
        </xdr:nvSpPr>
        <xdr:spPr>
          <a:xfrm>
            <a:off x="347774" y="5332813"/>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6C2EC30-6BF0-4523-9475-D5689E8E4755}"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G43">
        <xdr:nvSpPr>
          <xdr:cNvPr id="405" name="Textfeld 404"/>
          <xdr:cNvSpPr txBox="1"/>
        </xdr:nvSpPr>
        <xdr:spPr>
          <a:xfrm>
            <a:off x="2458751" y="5336385"/>
            <a:ext cx="444889"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B48142-0E66-4166-85B6-72B146E34A13}" type="TxLink">
              <a:rPr lang="en-US" sz="11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D43">
        <xdr:nvSpPr>
          <xdr:cNvPr id="406" name="Textfeld 405"/>
          <xdr:cNvSpPr txBox="1"/>
        </xdr:nvSpPr>
        <xdr:spPr>
          <a:xfrm>
            <a:off x="2957599" y="500634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A04917B-E361-4B39-AFCF-5221873BC9EC}" type="TxLink">
              <a:rPr lang="en-US" sz="1100" b="0" i="0" u="none" strike="noStrike">
                <a:solidFill>
                  <a:srgbClr val="000000"/>
                </a:solidFill>
                <a:latin typeface="Calibri"/>
                <a:ea typeface="Verdana"/>
                <a:cs typeface="Calibri"/>
              </a:rPr>
              <a:pPr algn="l"/>
              <a:t>-</a:t>
            </a:fld>
            <a:endParaRPr lang="de-AT" sz="800">
              <a:solidFill>
                <a:sysClr val="windowText" lastClr="000000"/>
              </a:solidFill>
            </a:endParaRPr>
          </a:p>
        </xdr:txBody>
      </xdr:sp>
      <xdr:sp macro="" textlink="Formeln!BE43">
        <xdr:nvSpPr>
          <xdr:cNvPr id="407" name="Textfeld 406"/>
          <xdr:cNvSpPr txBox="1"/>
        </xdr:nvSpPr>
        <xdr:spPr>
          <a:xfrm>
            <a:off x="2961171" y="4813464"/>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741055A-4168-434C-9A62-B95D024A7283}" type="TxLink">
              <a:rPr lang="en-US" sz="1100" b="0" i="0" u="none" strike="noStrike">
                <a:solidFill>
                  <a:srgbClr val="000000"/>
                </a:solidFill>
                <a:latin typeface="Calibri"/>
                <a:ea typeface="Verdana"/>
                <a:cs typeface="Calibri"/>
              </a:rPr>
              <a:pPr algn="l"/>
              <a:t>-</a:t>
            </a:fld>
            <a:endParaRPr lang="de-AT" sz="800">
              <a:solidFill>
                <a:sysClr val="windowText" lastClr="000000"/>
              </a:solidFill>
            </a:endParaRPr>
          </a:p>
        </xdr:txBody>
      </xdr:sp>
      <xdr:sp macro="" textlink="Formeln!BF43">
        <xdr:nvSpPr>
          <xdr:cNvPr id="408" name="Textfeld 407"/>
          <xdr:cNvSpPr txBox="1"/>
        </xdr:nvSpPr>
        <xdr:spPr>
          <a:xfrm>
            <a:off x="2958788" y="4584863"/>
            <a:ext cx="450226"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5FA1396-EB19-4B02-8E6E-BFAC8EB183B1}" type="TxLink">
              <a:rPr lang="en-US" sz="1100" b="0" i="0" u="none" strike="noStrike">
                <a:solidFill>
                  <a:srgbClr val="000000"/>
                </a:solidFill>
                <a:latin typeface="Calibri"/>
                <a:ea typeface="Verdana"/>
                <a:cs typeface="Calibri"/>
              </a:rPr>
              <a:pPr algn="l"/>
              <a:t>-</a:t>
            </a:fld>
            <a:endParaRPr lang="de-AT" sz="800">
              <a:solidFill>
                <a:sysClr val="windowText" lastClr="000000"/>
              </a:solidFill>
            </a:endParaRPr>
          </a:p>
        </xdr:txBody>
      </xdr:sp>
      <xdr:sp macro="" textlink="Formeln!BC41">
        <xdr:nvSpPr>
          <xdr:cNvPr id="409" name="Textfeld 408"/>
          <xdr:cNvSpPr txBox="1"/>
        </xdr:nvSpPr>
        <xdr:spPr>
          <a:xfrm>
            <a:off x="768073" y="4602522"/>
            <a:ext cx="1685822"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28014E6-D550-433D-A51A-F55945CAB04E}" type="TxLink">
              <a:rPr lang="en-US" sz="1300" b="1" i="0" u="none" strike="noStrike">
                <a:solidFill>
                  <a:schemeClr val="bg1">
                    <a:lumMod val="65000"/>
                  </a:schemeClr>
                </a:solidFill>
                <a:latin typeface="Calibri"/>
                <a:ea typeface="Verdana"/>
                <a:cs typeface="Calibri"/>
              </a:rPr>
              <a:pPr algn="ctr"/>
              <a:t>Front D</a:t>
            </a:fld>
            <a:endParaRPr lang="de-AT" sz="1300" b="1">
              <a:solidFill>
                <a:schemeClr val="bg1">
                  <a:lumMod val="65000"/>
                </a:schemeClr>
              </a:solidFill>
            </a:endParaRPr>
          </a:p>
        </xdr:txBody>
      </xdr:sp>
    </xdr:grpSp>
    <xdr:clientData/>
  </xdr:twoCellAnchor>
  <xdr:twoCellAnchor>
    <xdr:from>
      <xdr:col>3</xdr:col>
      <xdr:colOff>390525</xdr:colOff>
      <xdr:row>3</xdr:row>
      <xdr:rowOff>447675</xdr:rowOff>
    </xdr:from>
    <xdr:to>
      <xdr:col>3</xdr:col>
      <xdr:colOff>2714625</xdr:colOff>
      <xdr:row>3</xdr:row>
      <xdr:rowOff>1247775</xdr:rowOff>
    </xdr:to>
    <xdr:sp macro="" textlink="">
      <xdr:nvSpPr>
        <xdr:cNvPr id="56" name="Rechteck 55"/>
        <xdr:cNvSpPr/>
      </xdr:nvSpPr>
      <xdr:spPr>
        <a:xfrm>
          <a:off x="10648950" y="4438650"/>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400050</xdr:colOff>
      <xdr:row>3</xdr:row>
      <xdr:rowOff>1981200</xdr:rowOff>
    </xdr:from>
    <xdr:to>
      <xdr:col>3</xdr:col>
      <xdr:colOff>2724150</xdr:colOff>
      <xdr:row>3</xdr:row>
      <xdr:rowOff>2781300</xdr:rowOff>
    </xdr:to>
    <xdr:sp macro="" textlink="">
      <xdr:nvSpPr>
        <xdr:cNvPr id="333" name="Rechteck 332"/>
        <xdr:cNvSpPr/>
      </xdr:nvSpPr>
      <xdr:spPr>
        <a:xfrm>
          <a:off x="10658475" y="5972175"/>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390525</xdr:colOff>
      <xdr:row>3</xdr:row>
      <xdr:rowOff>3886200</xdr:rowOff>
    </xdr:from>
    <xdr:to>
      <xdr:col>3</xdr:col>
      <xdr:colOff>2714625</xdr:colOff>
      <xdr:row>3</xdr:row>
      <xdr:rowOff>4686300</xdr:rowOff>
    </xdr:to>
    <xdr:sp macro="" textlink="">
      <xdr:nvSpPr>
        <xdr:cNvPr id="334" name="Rechteck 333"/>
        <xdr:cNvSpPr/>
      </xdr:nvSpPr>
      <xdr:spPr>
        <a:xfrm>
          <a:off x="10648950" y="7877175"/>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419100</xdr:colOff>
      <xdr:row>4</xdr:row>
      <xdr:rowOff>552450</xdr:rowOff>
    </xdr:from>
    <xdr:to>
      <xdr:col>3</xdr:col>
      <xdr:colOff>2743200</xdr:colOff>
      <xdr:row>4</xdr:row>
      <xdr:rowOff>1352550</xdr:rowOff>
    </xdr:to>
    <xdr:sp macro="" textlink="">
      <xdr:nvSpPr>
        <xdr:cNvPr id="335" name="Rechteck 334"/>
        <xdr:cNvSpPr/>
      </xdr:nvSpPr>
      <xdr:spPr>
        <a:xfrm>
          <a:off x="10677525" y="9744075"/>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409575</xdr:colOff>
      <xdr:row>3</xdr:row>
      <xdr:rowOff>3895725</xdr:rowOff>
    </xdr:from>
    <xdr:to>
      <xdr:col>2</xdr:col>
      <xdr:colOff>2733675</xdr:colOff>
      <xdr:row>3</xdr:row>
      <xdr:rowOff>4695825</xdr:rowOff>
    </xdr:to>
    <xdr:sp macro="" textlink="">
      <xdr:nvSpPr>
        <xdr:cNvPr id="336" name="Rechteck 335"/>
        <xdr:cNvSpPr/>
      </xdr:nvSpPr>
      <xdr:spPr>
        <a:xfrm>
          <a:off x="7248525" y="7886700"/>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447675</xdr:colOff>
      <xdr:row>3</xdr:row>
      <xdr:rowOff>1943100</xdr:rowOff>
    </xdr:from>
    <xdr:to>
      <xdr:col>2</xdr:col>
      <xdr:colOff>2771775</xdr:colOff>
      <xdr:row>3</xdr:row>
      <xdr:rowOff>2743200</xdr:rowOff>
    </xdr:to>
    <xdr:sp macro="" textlink="">
      <xdr:nvSpPr>
        <xdr:cNvPr id="337" name="Rechteck 336"/>
        <xdr:cNvSpPr/>
      </xdr:nvSpPr>
      <xdr:spPr>
        <a:xfrm>
          <a:off x="7286625" y="5934075"/>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447675</xdr:colOff>
      <xdr:row>3</xdr:row>
      <xdr:rowOff>409575</xdr:rowOff>
    </xdr:from>
    <xdr:to>
      <xdr:col>2</xdr:col>
      <xdr:colOff>2771775</xdr:colOff>
      <xdr:row>3</xdr:row>
      <xdr:rowOff>1209675</xdr:rowOff>
    </xdr:to>
    <xdr:sp macro="" textlink="">
      <xdr:nvSpPr>
        <xdr:cNvPr id="338" name="Rechteck 337"/>
        <xdr:cNvSpPr/>
      </xdr:nvSpPr>
      <xdr:spPr>
        <a:xfrm>
          <a:off x="7286625" y="4400550"/>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xdr:col>
      <xdr:colOff>447675</xdr:colOff>
      <xdr:row>3</xdr:row>
      <xdr:rowOff>561975</xdr:rowOff>
    </xdr:from>
    <xdr:to>
      <xdr:col>1</xdr:col>
      <xdr:colOff>2771775</xdr:colOff>
      <xdr:row>3</xdr:row>
      <xdr:rowOff>1362075</xdr:rowOff>
    </xdr:to>
    <xdr:sp macro="" textlink="">
      <xdr:nvSpPr>
        <xdr:cNvPr id="339" name="Rechteck 338"/>
        <xdr:cNvSpPr/>
      </xdr:nvSpPr>
      <xdr:spPr>
        <a:xfrm>
          <a:off x="3867150" y="4552950"/>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xdr:col>
      <xdr:colOff>447675</xdr:colOff>
      <xdr:row>3</xdr:row>
      <xdr:rowOff>2647950</xdr:rowOff>
    </xdr:from>
    <xdr:to>
      <xdr:col>1</xdr:col>
      <xdr:colOff>2771775</xdr:colOff>
      <xdr:row>3</xdr:row>
      <xdr:rowOff>3448050</xdr:rowOff>
    </xdr:to>
    <xdr:sp macro="" textlink="">
      <xdr:nvSpPr>
        <xdr:cNvPr id="340" name="Rechteck 339"/>
        <xdr:cNvSpPr/>
      </xdr:nvSpPr>
      <xdr:spPr>
        <a:xfrm>
          <a:off x="3867150" y="6638925"/>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438150</xdr:colOff>
      <xdr:row>3</xdr:row>
      <xdr:rowOff>542925</xdr:rowOff>
    </xdr:from>
    <xdr:to>
      <xdr:col>0</xdr:col>
      <xdr:colOff>2762250</xdr:colOff>
      <xdr:row>3</xdr:row>
      <xdr:rowOff>1343025</xdr:rowOff>
    </xdr:to>
    <xdr:sp macro="" textlink="">
      <xdr:nvSpPr>
        <xdr:cNvPr id="341" name="Rechteck 340"/>
        <xdr:cNvSpPr/>
      </xdr:nvSpPr>
      <xdr:spPr>
        <a:xfrm>
          <a:off x="438150" y="4533900"/>
          <a:ext cx="2324100" cy="8001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628545</xdr:colOff>
      <xdr:row>3</xdr:row>
      <xdr:rowOff>1929651</xdr:rowOff>
    </xdr:from>
    <xdr:to>
      <xdr:col>3</xdr:col>
      <xdr:colOff>2496910</xdr:colOff>
      <xdr:row>3</xdr:row>
      <xdr:rowOff>2154407</xdr:rowOff>
    </xdr:to>
    <xdr:sp macro="" textlink="Formeln!BC28">
      <xdr:nvSpPr>
        <xdr:cNvPr id="413" name="Textfeld 412"/>
        <xdr:cNvSpPr txBox="1"/>
      </xdr:nvSpPr>
      <xdr:spPr>
        <a:xfrm>
          <a:off x="10884929" y="59199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EA87122-F2D0-4CEF-8578-214C19856FC3}"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628546</xdr:colOff>
      <xdr:row>3</xdr:row>
      <xdr:rowOff>2397109</xdr:rowOff>
    </xdr:from>
    <xdr:to>
      <xdr:col>3</xdr:col>
      <xdr:colOff>2496911</xdr:colOff>
      <xdr:row>3</xdr:row>
      <xdr:rowOff>2621865</xdr:rowOff>
    </xdr:to>
    <xdr:sp macro="" textlink="Formeln!BC27">
      <xdr:nvSpPr>
        <xdr:cNvPr id="414" name="Textfeld 413"/>
        <xdr:cNvSpPr txBox="1"/>
      </xdr:nvSpPr>
      <xdr:spPr>
        <a:xfrm>
          <a:off x="10884930" y="63874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03B570-8CBD-48AD-A491-B3729A8BAC42}"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lientData/>
  </xdr:twoCellAnchor>
  <xdr:twoCellAnchor>
    <xdr:from>
      <xdr:col>3</xdr:col>
      <xdr:colOff>723798</xdr:colOff>
      <xdr:row>3</xdr:row>
      <xdr:rowOff>2040287</xdr:rowOff>
    </xdr:from>
    <xdr:to>
      <xdr:col>3</xdr:col>
      <xdr:colOff>1368565</xdr:colOff>
      <xdr:row>3</xdr:row>
      <xdr:rowOff>2128210</xdr:rowOff>
    </xdr:to>
    <xdr:cxnSp macro="">
      <xdr:nvCxnSpPr>
        <xdr:cNvPr id="415" name="Gerade Verbindung 414"/>
        <xdr:cNvCxnSpPr/>
      </xdr:nvCxnSpPr>
      <xdr:spPr>
        <a:xfrm flipH="1">
          <a:off x="10980182" y="60305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700352</xdr:colOff>
      <xdr:row>3</xdr:row>
      <xdr:rowOff>2507745</xdr:rowOff>
    </xdr:from>
    <xdr:to>
      <xdr:col>3</xdr:col>
      <xdr:colOff>1345119</xdr:colOff>
      <xdr:row>3</xdr:row>
      <xdr:rowOff>2595668</xdr:rowOff>
    </xdr:to>
    <xdr:cxnSp macro="">
      <xdr:nvCxnSpPr>
        <xdr:cNvPr id="416" name="Gerade Verbindung 415"/>
        <xdr:cNvCxnSpPr/>
      </xdr:nvCxnSpPr>
      <xdr:spPr>
        <a:xfrm flipH="1">
          <a:off x="10956736" y="64980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687162</xdr:colOff>
      <xdr:row>3</xdr:row>
      <xdr:rowOff>2399306</xdr:rowOff>
    </xdr:from>
    <xdr:to>
      <xdr:col>3</xdr:col>
      <xdr:colOff>1328528</xdr:colOff>
      <xdr:row>3</xdr:row>
      <xdr:rowOff>2509994</xdr:rowOff>
    </xdr:to>
    <xdr:cxnSp macro="">
      <xdr:nvCxnSpPr>
        <xdr:cNvPr id="417" name="Gerade Verbindung 416"/>
        <xdr:cNvCxnSpPr/>
      </xdr:nvCxnSpPr>
      <xdr:spPr>
        <a:xfrm flipH="1" flipV="1">
          <a:off x="10943546" y="63896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1755430</xdr:colOff>
      <xdr:row>3</xdr:row>
      <xdr:rowOff>2038821</xdr:rowOff>
    </xdr:from>
    <xdr:to>
      <xdr:col>3</xdr:col>
      <xdr:colOff>2394334</xdr:colOff>
      <xdr:row>3</xdr:row>
      <xdr:rowOff>2128210</xdr:rowOff>
    </xdr:to>
    <xdr:cxnSp macro="">
      <xdr:nvCxnSpPr>
        <xdr:cNvPr id="418" name="Gerade Verbindung 417"/>
        <xdr:cNvCxnSpPr/>
      </xdr:nvCxnSpPr>
      <xdr:spPr>
        <a:xfrm flipH="1" flipV="1">
          <a:off x="12011814" y="60291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1783272</xdr:colOff>
      <xdr:row>3</xdr:row>
      <xdr:rowOff>2513082</xdr:rowOff>
    </xdr:from>
    <xdr:to>
      <xdr:col>3</xdr:col>
      <xdr:colOff>2422176</xdr:colOff>
      <xdr:row>3</xdr:row>
      <xdr:rowOff>2602471</xdr:rowOff>
    </xdr:to>
    <xdr:cxnSp macro="">
      <xdr:nvCxnSpPr>
        <xdr:cNvPr id="419" name="Gerade Verbindung 418"/>
        <xdr:cNvCxnSpPr/>
      </xdr:nvCxnSpPr>
      <xdr:spPr>
        <a:xfrm flipH="1" flipV="1">
          <a:off x="12039656" y="65033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1786199</xdr:colOff>
      <xdr:row>3</xdr:row>
      <xdr:rowOff>2399306</xdr:rowOff>
    </xdr:from>
    <xdr:to>
      <xdr:col>3</xdr:col>
      <xdr:colOff>2387008</xdr:colOff>
      <xdr:row>3</xdr:row>
      <xdr:rowOff>2516537</xdr:rowOff>
    </xdr:to>
    <xdr:cxnSp macro="">
      <xdr:nvCxnSpPr>
        <xdr:cNvPr id="420" name="Gerade Verbindung 419"/>
        <xdr:cNvCxnSpPr/>
      </xdr:nvCxnSpPr>
      <xdr:spPr>
        <a:xfrm flipH="1">
          <a:off x="12042583" y="63896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621742</xdr:colOff>
      <xdr:row>3</xdr:row>
      <xdr:rowOff>3854211</xdr:rowOff>
    </xdr:from>
    <xdr:to>
      <xdr:col>3</xdr:col>
      <xdr:colOff>2490107</xdr:colOff>
      <xdr:row>3</xdr:row>
      <xdr:rowOff>4078967</xdr:rowOff>
    </xdr:to>
    <xdr:sp macro="" textlink="Formeln!BC36">
      <xdr:nvSpPr>
        <xdr:cNvPr id="421" name="Textfeld 420"/>
        <xdr:cNvSpPr txBox="1"/>
      </xdr:nvSpPr>
      <xdr:spPr>
        <a:xfrm>
          <a:off x="10873023" y="7848758"/>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D1C766-3FEC-4517-ADA4-E2A417E6D995}"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621743</xdr:colOff>
      <xdr:row>3</xdr:row>
      <xdr:rowOff>4321669</xdr:rowOff>
    </xdr:from>
    <xdr:to>
      <xdr:col>3</xdr:col>
      <xdr:colOff>2490108</xdr:colOff>
      <xdr:row>3</xdr:row>
      <xdr:rowOff>4546425</xdr:rowOff>
    </xdr:to>
    <xdr:sp macro="" textlink="Formeln!BC35">
      <xdr:nvSpPr>
        <xdr:cNvPr id="422" name="Textfeld 421"/>
        <xdr:cNvSpPr txBox="1"/>
      </xdr:nvSpPr>
      <xdr:spPr>
        <a:xfrm>
          <a:off x="10873024" y="831621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28B2D7F-8F8B-40F5-A86B-353CBEA842AE}"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lientData/>
  </xdr:twoCellAnchor>
  <xdr:twoCellAnchor>
    <xdr:from>
      <xdr:col>3</xdr:col>
      <xdr:colOff>716995</xdr:colOff>
      <xdr:row>3</xdr:row>
      <xdr:rowOff>3964847</xdr:rowOff>
    </xdr:from>
    <xdr:to>
      <xdr:col>3</xdr:col>
      <xdr:colOff>1361762</xdr:colOff>
      <xdr:row>3</xdr:row>
      <xdr:rowOff>4052770</xdr:rowOff>
    </xdr:to>
    <xdr:cxnSp macro="">
      <xdr:nvCxnSpPr>
        <xdr:cNvPr id="423" name="Gerade Verbindung 422"/>
        <xdr:cNvCxnSpPr/>
      </xdr:nvCxnSpPr>
      <xdr:spPr>
        <a:xfrm flipH="1">
          <a:off x="10968276" y="7959394"/>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693549</xdr:colOff>
      <xdr:row>3</xdr:row>
      <xdr:rowOff>4432305</xdr:rowOff>
    </xdr:from>
    <xdr:to>
      <xdr:col>3</xdr:col>
      <xdr:colOff>1338316</xdr:colOff>
      <xdr:row>3</xdr:row>
      <xdr:rowOff>4520228</xdr:rowOff>
    </xdr:to>
    <xdr:cxnSp macro="">
      <xdr:nvCxnSpPr>
        <xdr:cNvPr id="424" name="Gerade Verbindung 423"/>
        <xdr:cNvCxnSpPr/>
      </xdr:nvCxnSpPr>
      <xdr:spPr>
        <a:xfrm flipH="1">
          <a:off x="10944830" y="842685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680359</xdr:colOff>
      <xdr:row>3</xdr:row>
      <xdr:rowOff>4323866</xdr:rowOff>
    </xdr:from>
    <xdr:to>
      <xdr:col>3</xdr:col>
      <xdr:colOff>1321725</xdr:colOff>
      <xdr:row>3</xdr:row>
      <xdr:rowOff>4434554</xdr:rowOff>
    </xdr:to>
    <xdr:cxnSp macro="">
      <xdr:nvCxnSpPr>
        <xdr:cNvPr id="425" name="Gerade Verbindung 424"/>
        <xdr:cNvCxnSpPr/>
      </xdr:nvCxnSpPr>
      <xdr:spPr>
        <a:xfrm flipH="1" flipV="1">
          <a:off x="10931640" y="8318413"/>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1748627</xdr:colOff>
      <xdr:row>3</xdr:row>
      <xdr:rowOff>3963381</xdr:rowOff>
    </xdr:from>
    <xdr:to>
      <xdr:col>3</xdr:col>
      <xdr:colOff>2387531</xdr:colOff>
      <xdr:row>3</xdr:row>
      <xdr:rowOff>4052770</xdr:rowOff>
    </xdr:to>
    <xdr:cxnSp macro="">
      <xdr:nvCxnSpPr>
        <xdr:cNvPr id="426" name="Gerade Verbindung 425"/>
        <xdr:cNvCxnSpPr/>
      </xdr:nvCxnSpPr>
      <xdr:spPr>
        <a:xfrm flipH="1" flipV="1">
          <a:off x="11999908" y="7957928"/>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1776469</xdr:colOff>
      <xdr:row>3</xdr:row>
      <xdr:rowOff>4437642</xdr:rowOff>
    </xdr:from>
    <xdr:to>
      <xdr:col>3</xdr:col>
      <xdr:colOff>2415373</xdr:colOff>
      <xdr:row>3</xdr:row>
      <xdr:rowOff>4527031</xdr:rowOff>
    </xdr:to>
    <xdr:cxnSp macro="">
      <xdr:nvCxnSpPr>
        <xdr:cNvPr id="427" name="Gerade Verbindung 426"/>
        <xdr:cNvCxnSpPr/>
      </xdr:nvCxnSpPr>
      <xdr:spPr>
        <a:xfrm flipH="1" flipV="1">
          <a:off x="12027750" y="8432189"/>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1779396</xdr:colOff>
      <xdr:row>3</xdr:row>
      <xdr:rowOff>4323866</xdr:rowOff>
    </xdr:from>
    <xdr:to>
      <xdr:col>3</xdr:col>
      <xdr:colOff>2380205</xdr:colOff>
      <xdr:row>3</xdr:row>
      <xdr:rowOff>4441097</xdr:rowOff>
    </xdr:to>
    <xdr:cxnSp macro="">
      <xdr:nvCxnSpPr>
        <xdr:cNvPr id="428" name="Gerade Verbindung 427"/>
        <xdr:cNvCxnSpPr/>
      </xdr:nvCxnSpPr>
      <xdr:spPr>
        <a:xfrm flipH="1">
          <a:off x="12030677" y="8318413"/>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654844</xdr:colOff>
      <xdr:row>4</xdr:row>
      <xdr:rowOff>511968</xdr:rowOff>
    </xdr:from>
    <xdr:to>
      <xdr:col>3</xdr:col>
      <xdr:colOff>2523210</xdr:colOff>
      <xdr:row>4</xdr:row>
      <xdr:rowOff>1204182</xdr:rowOff>
    </xdr:to>
    <xdr:grpSp>
      <xdr:nvGrpSpPr>
        <xdr:cNvPr id="69" name="Gruppieren 68"/>
        <xdr:cNvGrpSpPr/>
      </xdr:nvGrpSpPr>
      <xdr:grpSpPr>
        <a:xfrm>
          <a:off x="10913269" y="9703593"/>
          <a:ext cx="1868366" cy="692214"/>
          <a:chOff x="10906125" y="9709546"/>
          <a:chExt cx="1868366" cy="692214"/>
        </a:xfrm>
      </xdr:grpSpPr>
      <xdr:sp macro="" textlink="Formeln!BC44">
        <xdr:nvSpPr>
          <xdr:cNvPr id="429" name="Textfeld 428"/>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29F5650-1D5A-45E5-97FF-FD565C3F2572}"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C43">
        <xdr:nvSpPr>
          <xdr:cNvPr id="430" name="Textfeld 429"/>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5FE056C-C893-42DE-965B-0B558B7F1979}"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xnSp macro="">
        <xdr:nvCxnSpPr>
          <xdr:cNvPr id="431" name="Gerade Verbindung 430"/>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2" name="Gerade Verbindung 431"/>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3" name="Gerade Verbindung 432"/>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4" name="Gerade Verbindung 433"/>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5" name="Gerade Verbindung 434"/>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6" name="Gerade Verbindung 435"/>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681036</xdr:colOff>
      <xdr:row>3</xdr:row>
      <xdr:rowOff>1901428</xdr:rowOff>
    </xdr:from>
    <xdr:to>
      <xdr:col>2</xdr:col>
      <xdr:colOff>2549402</xdr:colOff>
      <xdr:row>3</xdr:row>
      <xdr:rowOff>2593642</xdr:rowOff>
    </xdr:to>
    <xdr:grpSp>
      <xdr:nvGrpSpPr>
        <xdr:cNvPr id="454" name="Gruppieren 453"/>
        <xdr:cNvGrpSpPr/>
      </xdr:nvGrpSpPr>
      <xdr:grpSpPr>
        <a:xfrm>
          <a:off x="7519986" y="5892403"/>
          <a:ext cx="1868366" cy="692214"/>
          <a:chOff x="10906125" y="9709546"/>
          <a:chExt cx="1868366" cy="692214"/>
        </a:xfrm>
      </xdr:grpSpPr>
      <xdr:sp macro="" textlink="Formeln!BC28">
        <xdr:nvSpPr>
          <xdr:cNvPr id="455" name="Textfeld 454"/>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C531C4-FCD8-4E99-B3C0-946EA491F032}"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C27">
        <xdr:nvSpPr>
          <xdr:cNvPr id="456" name="Textfeld 455"/>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42B8B0-F7F7-4618-8C36-2DC47356EE65}"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xnSp macro="">
        <xdr:nvCxnSpPr>
          <xdr:cNvPr id="457" name="Gerade Verbindung 456"/>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8" name="Gerade Verbindung 457"/>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9" name="Gerade Verbindung 458"/>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0" name="Gerade Verbindung 459"/>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1" name="Gerade Verbindung 460"/>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2" name="Gerade Verbindung 461"/>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638173</xdr:colOff>
      <xdr:row>3</xdr:row>
      <xdr:rowOff>3862387</xdr:rowOff>
    </xdr:from>
    <xdr:to>
      <xdr:col>2</xdr:col>
      <xdr:colOff>2506539</xdr:colOff>
      <xdr:row>3</xdr:row>
      <xdr:rowOff>4554601</xdr:rowOff>
    </xdr:to>
    <xdr:grpSp>
      <xdr:nvGrpSpPr>
        <xdr:cNvPr id="463" name="Gruppieren 462"/>
        <xdr:cNvGrpSpPr/>
      </xdr:nvGrpSpPr>
      <xdr:grpSpPr>
        <a:xfrm>
          <a:off x="7477123" y="7853362"/>
          <a:ext cx="1868366" cy="692214"/>
          <a:chOff x="10906125" y="9709546"/>
          <a:chExt cx="1868366" cy="692214"/>
        </a:xfrm>
      </xdr:grpSpPr>
      <xdr:sp macro="" textlink="Formeln!BC36">
        <xdr:nvSpPr>
          <xdr:cNvPr id="464" name="Textfeld 463"/>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9981DA4-3963-4A88-AC26-BBB6D2A63D70}"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C35">
        <xdr:nvSpPr>
          <xdr:cNvPr id="465" name="Textfeld 464"/>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1D23D84-8DF3-469C-AF4E-7A4520AC2FC4}"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cxnSp macro="">
        <xdr:nvCxnSpPr>
          <xdr:cNvPr id="466" name="Gerade Verbindung 465"/>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7" name="Gerade Verbindung 466"/>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8" name="Gerade Verbindung 467"/>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9" name="Gerade Verbindung 468"/>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0" name="Gerade Verbindung 469"/>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1" name="Gerade Verbindung 470"/>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672773</xdr:colOff>
      <xdr:row>3</xdr:row>
      <xdr:rowOff>2609316</xdr:rowOff>
    </xdr:from>
    <xdr:to>
      <xdr:col>1</xdr:col>
      <xdr:colOff>2541139</xdr:colOff>
      <xdr:row>3</xdr:row>
      <xdr:rowOff>3301530</xdr:rowOff>
    </xdr:to>
    <xdr:grpSp>
      <xdr:nvGrpSpPr>
        <xdr:cNvPr id="481" name="Gruppieren 480"/>
        <xdr:cNvGrpSpPr/>
      </xdr:nvGrpSpPr>
      <xdr:grpSpPr>
        <a:xfrm>
          <a:off x="4092248" y="6600291"/>
          <a:ext cx="1868366" cy="692214"/>
          <a:chOff x="10906125" y="9709546"/>
          <a:chExt cx="1868366" cy="692214"/>
        </a:xfrm>
      </xdr:grpSpPr>
      <xdr:sp macro="" textlink="Formeln!BC28">
        <xdr:nvSpPr>
          <xdr:cNvPr id="482" name="Textfeld 481"/>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5C36851-6DE4-4CF2-BBE5-596985E1289F}" type="TxLink">
              <a:rPr lang="en-US" sz="800" b="0" i="0" u="none" strike="noStrike">
                <a:solidFill>
                  <a:srgbClr val="000000"/>
                </a:solidFill>
                <a:latin typeface="Calibri"/>
                <a:ea typeface="Verdana"/>
                <a:cs typeface="Calibri"/>
              </a:rPr>
              <a:pPr algn="ctr"/>
              <a:t>--</a:t>
            </a:fld>
            <a:endParaRPr lang="de-AT" sz="800">
              <a:solidFill>
                <a:sysClr val="windowText" lastClr="000000"/>
              </a:solidFill>
            </a:endParaRPr>
          </a:p>
        </xdr:txBody>
      </xdr:sp>
      <xdr:sp macro="" textlink="Formeln!BC27">
        <xdr:nvSpPr>
          <xdr:cNvPr id="483" name="Textfeld 482"/>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A35B99-A785-4B7B-A92E-32FB739C872A}"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xnSp macro="">
        <xdr:nvCxnSpPr>
          <xdr:cNvPr id="484" name="Gerade Verbindung 483"/>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5" name="Gerade Verbindung 484"/>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6" name="Gerade Verbindung 485"/>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7" name="Gerade Verbindung 486"/>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8" name="Gerade Verbindung 487"/>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9" name="Gerade Verbindung 488"/>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666750</xdr:colOff>
      <xdr:row>3</xdr:row>
      <xdr:rowOff>494110</xdr:rowOff>
    </xdr:from>
    <xdr:to>
      <xdr:col>0</xdr:col>
      <xdr:colOff>2535116</xdr:colOff>
      <xdr:row>3</xdr:row>
      <xdr:rowOff>1186324</xdr:rowOff>
    </xdr:to>
    <xdr:grpSp>
      <xdr:nvGrpSpPr>
        <xdr:cNvPr id="490" name="Gruppieren 489"/>
        <xdr:cNvGrpSpPr/>
      </xdr:nvGrpSpPr>
      <xdr:grpSpPr>
        <a:xfrm>
          <a:off x="666750" y="4485085"/>
          <a:ext cx="1868366" cy="692214"/>
          <a:chOff x="10906125" y="9709546"/>
          <a:chExt cx="1868366" cy="692214"/>
        </a:xfrm>
      </xdr:grpSpPr>
      <xdr:sp macro="" textlink="Formeln!BC20">
        <xdr:nvSpPr>
          <xdr:cNvPr id="491" name="Textfeld 490"/>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38176E-115C-4F94-8AFF-C12D96364256}" type="TxLink">
              <a:rPr lang="en-US" sz="800" b="0" i="0" u="none" strike="noStrike">
                <a:solidFill>
                  <a:srgbClr val="000000"/>
                </a:solidFill>
                <a:latin typeface="Calibri"/>
                <a:ea typeface="Verdana"/>
                <a:cs typeface="Calibri"/>
              </a:rPr>
              <a:pPr algn="ctr"/>
              <a:t>Ø 8 mm</a:t>
            </a:fld>
            <a:endParaRPr lang="de-AT" sz="800">
              <a:solidFill>
                <a:sysClr val="windowText" lastClr="000000"/>
              </a:solidFill>
            </a:endParaRPr>
          </a:p>
        </xdr:txBody>
      </xdr:sp>
      <xdr:sp macro="" textlink="Formeln!BC19">
        <xdr:nvSpPr>
          <xdr:cNvPr id="492" name="Textfeld 491"/>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76CE8E-2F5E-4C16-ABF0-B3AB3F625E63}"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xnSp macro="">
        <xdr:nvCxnSpPr>
          <xdr:cNvPr id="493" name="Gerade Verbindung 492"/>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4" name="Gerade Verbindung 493"/>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5" name="Gerade Verbindung 494"/>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6" name="Gerade Verbindung 495"/>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7" name="Gerade Verbindung 496"/>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8" name="Gerade Verbindung 497"/>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678656</xdr:colOff>
      <xdr:row>3</xdr:row>
      <xdr:rowOff>532210</xdr:rowOff>
    </xdr:from>
    <xdr:to>
      <xdr:col>1</xdr:col>
      <xdr:colOff>2547022</xdr:colOff>
      <xdr:row>3</xdr:row>
      <xdr:rowOff>1224424</xdr:rowOff>
    </xdr:to>
    <xdr:grpSp>
      <xdr:nvGrpSpPr>
        <xdr:cNvPr id="499" name="Gruppieren 498"/>
        <xdr:cNvGrpSpPr/>
      </xdr:nvGrpSpPr>
      <xdr:grpSpPr>
        <a:xfrm>
          <a:off x="4098131" y="4523185"/>
          <a:ext cx="1868366" cy="692214"/>
          <a:chOff x="10906125" y="9709546"/>
          <a:chExt cx="1868366" cy="692214"/>
        </a:xfrm>
      </xdr:grpSpPr>
      <xdr:sp macro="" textlink="Formeln!BC20">
        <xdr:nvSpPr>
          <xdr:cNvPr id="500" name="Textfeld 499"/>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38176E-115C-4F94-8AFF-C12D96364256}" type="TxLink">
              <a:rPr lang="en-US" sz="800" b="0" i="0" u="none" strike="noStrike">
                <a:solidFill>
                  <a:srgbClr val="000000"/>
                </a:solidFill>
                <a:latin typeface="Calibri"/>
                <a:ea typeface="Verdana"/>
                <a:cs typeface="Calibri"/>
              </a:rPr>
              <a:pPr algn="ctr"/>
              <a:t>Ø 8 mm</a:t>
            </a:fld>
            <a:endParaRPr lang="de-AT" sz="800">
              <a:solidFill>
                <a:sysClr val="windowText" lastClr="000000"/>
              </a:solidFill>
            </a:endParaRPr>
          </a:p>
        </xdr:txBody>
      </xdr:sp>
      <xdr:sp macro="" textlink="Formeln!BC19">
        <xdr:nvSpPr>
          <xdr:cNvPr id="501" name="Textfeld 500"/>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76CE8E-2F5E-4C16-ABF0-B3AB3F625E63}"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xnSp macro="">
        <xdr:nvCxnSpPr>
          <xdr:cNvPr id="502" name="Gerade Verbindung 501"/>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3" name="Gerade Verbindung 502"/>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4" name="Gerade Verbindung 503"/>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5" name="Gerade Verbindung 504"/>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6" name="Gerade Verbindung 505"/>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7" name="Gerade Verbindung 506"/>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684610</xdr:colOff>
      <xdr:row>3</xdr:row>
      <xdr:rowOff>381000</xdr:rowOff>
    </xdr:from>
    <xdr:to>
      <xdr:col>2</xdr:col>
      <xdr:colOff>2552976</xdr:colOff>
      <xdr:row>3</xdr:row>
      <xdr:rowOff>1073214</xdr:rowOff>
    </xdr:to>
    <xdr:grpSp>
      <xdr:nvGrpSpPr>
        <xdr:cNvPr id="508" name="Gruppieren 507"/>
        <xdr:cNvGrpSpPr/>
      </xdr:nvGrpSpPr>
      <xdr:grpSpPr>
        <a:xfrm>
          <a:off x="7523560" y="4371975"/>
          <a:ext cx="1868366" cy="692214"/>
          <a:chOff x="10906125" y="9709546"/>
          <a:chExt cx="1868366" cy="692214"/>
        </a:xfrm>
      </xdr:grpSpPr>
      <xdr:sp macro="" textlink="Formeln!BC20">
        <xdr:nvSpPr>
          <xdr:cNvPr id="509" name="Textfeld 508"/>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38176E-115C-4F94-8AFF-C12D96364256}" type="TxLink">
              <a:rPr lang="en-US" sz="800" b="0" i="0" u="none" strike="noStrike">
                <a:solidFill>
                  <a:srgbClr val="000000"/>
                </a:solidFill>
                <a:latin typeface="Calibri"/>
                <a:ea typeface="Verdana"/>
                <a:cs typeface="Calibri"/>
              </a:rPr>
              <a:pPr algn="ctr"/>
              <a:t>Ø 8 mm</a:t>
            </a:fld>
            <a:endParaRPr lang="de-AT" sz="800">
              <a:solidFill>
                <a:sysClr val="windowText" lastClr="000000"/>
              </a:solidFill>
            </a:endParaRPr>
          </a:p>
        </xdr:txBody>
      </xdr:sp>
      <xdr:sp macro="" textlink="Formeln!BC19">
        <xdr:nvSpPr>
          <xdr:cNvPr id="510" name="Textfeld 509"/>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76CE8E-2F5E-4C16-ABF0-B3AB3F625E63}"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xnSp macro="">
        <xdr:nvCxnSpPr>
          <xdr:cNvPr id="511" name="Gerade Verbindung 510"/>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2" name="Gerade Verbindung 511"/>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3" name="Gerade Verbindung 512"/>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4" name="Gerade Verbindung 513"/>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5" name="Gerade Verbindung 514"/>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6" name="Gerade Verbindung 515"/>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634605</xdr:colOff>
      <xdr:row>3</xdr:row>
      <xdr:rowOff>408384</xdr:rowOff>
    </xdr:from>
    <xdr:to>
      <xdr:col>3</xdr:col>
      <xdr:colOff>2502971</xdr:colOff>
      <xdr:row>3</xdr:row>
      <xdr:rowOff>1100598</xdr:rowOff>
    </xdr:to>
    <xdr:grpSp>
      <xdr:nvGrpSpPr>
        <xdr:cNvPr id="517" name="Gruppieren 516"/>
        <xdr:cNvGrpSpPr/>
      </xdr:nvGrpSpPr>
      <xdr:grpSpPr>
        <a:xfrm>
          <a:off x="10893030" y="4399359"/>
          <a:ext cx="1868366" cy="692214"/>
          <a:chOff x="10906125" y="9709546"/>
          <a:chExt cx="1868366" cy="692214"/>
        </a:xfrm>
      </xdr:grpSpPr>
      <xdr:sp macro="" textlink="Formeln!BC20">
        <xdr:nvSpPr>
          <xdr:cNvPr id="518" name="Textfeld 517"/>
          <xdr:cNvSpPr txBox="1"/>
        </xdr:nvSpPr>
        <xdr:spPr>
          <a:xfrm>
            <a:off x="10906125" y="9709546"/>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38176E-115C-4F94-8AFF-C12D96364256}" type="TxLink">
              <a:rPr lang="en-US" sz="800" b="0" i="0" u="none" strike="noStrike">
                <a:solidFill>
                  <a:srgbClr val="000000"/>
                </a:solidFill>
                <a:latin typeface="Calibri"/>
                <a:ea typeface="Verdana"/>
                <a:cs typeface="Calibri"/>
              </a:rPr>
              <a:pPr algn="ctr"/>
              <a:t>Ø 8 mm</a:t>
            </a:fld>
            <a:endParaRPr lang="de-AT" sz="800">
              <a:solidFill>
                <a:sysClr val="windowText" lastClr="000000"/>
              </a:solidFill>
            </a:endParaRPr>
          </a:p>
        </xdr:txBody>
      </xdr:sp>
      <xdr:sp macro="" textlink="Formeln!BC19">
        <xdr:nvSpPr>
          <xdr:cNvPr id="519" name="Textfeld 518"/>
          <xdr:cNvSpPr txBox="1"/>
        </xdr:nvSpPr>
        <xdr:spPr>
          <a:xfrm>
            <a:off x="10906126" y="10177004"/>
            <a:ext cx="1868365"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76CE8E-2F5E-4C16-ABF0-B3AB3F625E63}" type="TxLink">
              <a:rPr lang="en-US" sz="800" b="0" i="0" u="none" strike="noStrike">
                <a:solidFill>
                  <a:srgbClr val="000000"/>
                </a:solidFill>
                <a:latin typeface="Calibri"/>
                <a:ea typeface="Verdana"/>
                <a:cs typeface="Calibri"/>
              </a:rPr>
              <a:pPr algn="ctr"/>
              <a:t>Ø 3 mm</a:t>
            </a:fld>
            <a:endParaRPr lang="de-AT" sz="800">
              <a:solidFill>
                <a:sysClr val="windowText" lastClr="000000"/>
              </a:solidFill>
            </a:endParaRPr>
          </a:p>
        </xdr:txBody>
      </xdr:sp>
      <xdr:cxnSp macro="">
        <xdr:nvCxnSpPr>
          <xdr:cNvPr id="520" name="Gerade Verbindung 519"/>
          <xdr:cNvCxnSpPr/>
        </xdr:nvCxnSpPr>
        <xdr:spPr>
          <a:xfrm flipH="1">
            <a:off x="11001378" y="9820182"/>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1" name="Gerade Verbindung 520"/>
          <xdr:cNvCxnSpPr/>
        </xdr:nvCxnSpPr>
        <xdr:spPr>
          <a:xfrm flipH="1">
            <a:off x="10977932" y="10287640"/>
            <a:ext cx="644767" cy="879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2" name="Gerade Verbindung 521"/>
          <xdr:cNvCxnSpPr/>
        </xdr:nvCxnSpPr>
        <xdr:spPr>
          <a:xfrm flipH="1" flipV="1">
            <a:off x="10964742" y="10179201"/>
            <a:ext cx="641366" cy="1106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3" name="Gerade Verbindung 522"/>
          <xdr:cNvCxnSpPr/>
        </xdr:nvCxnSpPr>
        <xdr:spPr>
          <a:xfrm flipH="1" flipV="1">
            <a:off x="12033010" y="9818716"/>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4" name="Gerade Verbindung 523"/>
          <xdr:cNvCxnSpPr/>
        </xdr:nvCxnSpPr>
        <xdr:spPr>
          <a:xfrm flipH="1" flipV="1">
            <a:off x="12060852" y="10292977"/>
            <a:ext cx="638904" cy="8938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5" name="Gerade Verbindung 524"/>
          <xdr:cNvCxnSpPr/>
        </xdr:nvCxnSpPr>
        <xdr:spPr>
          <a:xfrm flipH="1">
            <a:off x="12063779" y="10179201"/>
            <a:ext cx="600809" cy="11723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81642</xdr:colOff>
      <xdr:row>3</xdr:row>
      <xdr:rowOff>4871357</xdr:rowOff>
    </xdr:from>
    <xdr:to>
      <xdr:col>0</xdr:col>
      <xdr:colOff>3360964</xdr:colOff>
      <xdr:row>3</xdr:row>
      <xdr:rowOff>5089071</xdr:rowOff>
    </xdr:to>
    <xdr:sp macro="" textlink="Formeln!BD20">
      <xdr:nvSpPr>
        <xdr:cNvPr id="526" name="Textfeld 525"/>
        <xdr:cNvSpPr txBox="1"/>
      </xdr:nvSpPr>
      <xdr:spPr>
        <a:xfrm>
          <a:off x="81642" y="8858250"/>
          <a:ext cx="3279322" cy="217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22FC955-14C8-4BFD-AA3E-2146E15111C8}" type="TxLink">
            <a:rPr lang="en-US" sz="1100" b="1" i="0" u="none" strike="noStrike">
              <a:solidFill>
                <a:srgbClr val="FF0000"/>
              </a:solidFill>
              <a:latin typeface="Calibri"/>
              <a:ea typeface="Verdana"/>
              <a:cs typeface="Calibri"/>
            </a:rPr>
            <a:pPr algn="ctr"/>
            <a:t> </a:t>
          </a:fld>
          <a:endParaRPr lang="de-AT" sz="800" b="1">
            <a:solidFill>
              <a:srgbClr val="FF0000"/>
            </a:solidFill>
          </a:endParaRPr>
        </a:p>
      </xdr:txBody>
    </xdr:sp>
    <xdr:clientData/>
  </xdr:twoCellAnchor>
  <xdr:twoCellAnchor>
    <xdr:from>
      <xdr:col>1</xdr:col>
      <xdr:colOff>84362</xdr:colOff>
      <xdr:row>3</xdr:row>
      <xdr:rowOff>4887686</xdr:rowOff>
    </xdr:from>
    <xdr:to>
      <xdr:col>1</xdr:col>
      <xdr:colOff>3363684</xdr:colOff>
      <xdr:row>3</xdr:row>
      <xdr:rowOff>5105400</xdr:rowOff>
    </xdr:to>
    <xdr:sp macro="" textlink="Formeln!BD28">
      <xdr:nvSpPr>
        <xdr:cNvPr id="527" name="Textfeld 526"/>
        <xdr:cNvSpPr txBox="1"/>
      </xdr:nvSpPr>
      <xdr:spPr>
        <a:xfrm>
          <a:off x="3499755" y="8874579"/>
          <a:ext cx="3279322" cy="217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7B879CF-4457-4ACA-8CC2-F57385342586}" type="TxLink">
            <a:rPr lang="en-US" sz="1100" b="1" i="0" u="none" strike="noStrike">
              <a:solidFill>
                <a:srgbClr val="FF0000"/>
              </a:solidFill>
              <a:latin typeface="Calibri"/>
              <a:ea typeface="Verdana"/>
              <a:cs typeface="Calibri"/>
            </a:rPr>
            <a:pPr marL="0" indent="0" algn="ctr"/>
            <a:t>-- = Wiercenie niewymagane</a:t>
          </a:fld>
          <a:endParaRPr lang="de-AT" sz="1100" b="1" i="0" u="none" strike="noStrike">
            <a:solidFill>
              <a:srgbClr val="FF0000"/>
            </a:solidFill>
            <a:latin typeface="Calibri"/>
            <a:ea typeface="Verdana"/>
            <a:cs typeface="Calibri"/>
          </a:endParaRPr>
        </a:p>
      </xdr:txBody>
    </xdr:sp>
    <xdr:clientData/>
  </xdr:twoCellAnchor>
  <xdr:twoCellAnchor>
    <xdr:from>
      <xdr:col>1</xdr:col>
      <xdr:colOff>3380012</xdr:colOff>
      <xdr:row>3</xdr:row>
      <xdr:rowOff>4931229</xdr:rowOff>
    </xdr:from>
    <xdr:to>
      <xdr:col>2</xdr:col>
      <xdr:colOff>3243941</xdr:colOff>
      <xdr:row>3</xdr:row>
      <xdr:rowOff>5148943</xdr:rowOff>
    </xdr:to>
    <xdr:sp macro="" textlink="Formeln!BD36">
      <xdr:nvSpPr>
        <xdr:cNvPr id="528" name="Textfeld 527"/>
        <xdr:cNvSpPr txBox="1"/>
      </xdr:nvSpPr>
      <xdr:spPr>
        <a:xfrm>
          <a:off x="6795405" y="8918122"/>
          <a:ext cx="3279322" cy="217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DE1E36E-C6CC-4094-8A8E-06E18FA542C7}" type="TxLink">
            <a:rPr lang="en-US" sz="1100" b="1" i="0" u="none" strike="noStrike">
              <a:solidFill>
                <a:srgbClr val="FF0000"/>
              </a:solidFill>
              <a:latin typeface="Calibri"/>
              <a:ea typeface="Verdana"/>
              <a:cs typeface="Calibri"/>
            </a:rPr>
            <a:pPr marL="0" indent="0" algn="ctr"/>
            <a:t>-- = Wiercenie niewymagane</a:t>
          </a:fld>
          <a:endParaRPr lang="de-AT" sz="1100" b="1" i="0" u="none" strike="noStrike">
            <a:solidFill>
              <a:srgbClr val="FF0000"/>
            </a:solidFill>
            <a:latin typeface="Calibri"/>
            <a:ea typeface="Verdana"/>
            <a:cs typeface="Calibri"/>
          </a:endParaRPr>
        </a:p>
      </xdr:txBody>
    </xdr:sp>
    <xdr:clientData/>
  </xdr:twoCellAnchor>
  <xdr:twoCellAnchor>
    <xdr:from>
      <xdr:col>2</xdr:col>
      <xdr:colOff>3341912</xdr:colOff>
      <xdr:row>3</xdr:row>
      <xdr:rowOff>4933952</xdr:rowOff>
    </xdr:from>
    <xdr:to>
      <xdr:col>3</xdr:col>
      <xdr:colOff>3205841</xdr:colOff>
      <xdr:row>3</xdr:row>
      <xdr:rowOff>5151666</xdr:rowOff>
    </xdr:to>
    <xdr:sp macro="" textlink="Formeln!BD44">
      <xdr:nvSpPr>
        <xdr:cNvPr id="529" name="Textfeld 528"/>
        <xdr:cNvSpPr txBox="1"/>
      </xdr:nvSpPr>
      <xdr:spPr>
        <a:xfrm>
          <a:off x="10172698" y="8920845"/>
          <a:ext cx="3279322" cy="217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B218516-618A-44B9-B3C8-58F0A10287EE}" type="TxLink">
            <a:rPr lang="en-US" sz="1100" b="1" i="0" u="none" strike="noStrike">
              <a:solidFill>
                <a:srgbClr val="FF0000"/>
              </a:solidFill>
              <a:latin typeface="Calibri"/>
              <a:ea typeface="Verdana"/>
              <a:cs typeface="Calibri"/>
            </a:rPr>
            <a:pPr marL="0" indent="0" algn="ctr"/>
            <a:t> </a:t>
          </a:fld>
          <a:endParaRPr lang="de-AT" sz="1100" b="1" i="0" u="none" strike="noStrike">
            <a:solidFill>
              <a:srgbClr val="FF0000"/>
            </a:solidFill>
            <a:latin typeface="Calibri"/>
            <a:ea typeface="Verdana"/>
            <a:cs typeface="Calibri"/>
          </a:endParaRPr>
        </a:p>
      </xdr:txBody>
    </xdr:sp>
    <xdr:clientData/>
  </xdr:twoCellAnchor>
  <xdr:twoCellAnchor>
    <xdr:from>
      <xdr:col>2</xdr:col>
      <xdr:colOff>3360965</xdr:colOff>
      <xdr:row>4</xdr:row>
      <xdr:rowOff>1782536</xdr:rowOff>
    </xdr:from>
    <xdr:to>
      <xdr:col>3</xdr:col>
      <xdr:colOff>3224894</xdr:colOff>
      <xdr:row>4</xdr:row>
      <xdr:rowOff>2000250</xdr:rowOff>
    </xdr:to>
    <xdr:sp macro="" textlink="Formeln!BD44">
      <xdr:nvSpPr>
        <xdr:cNvPr id="530" name="Textfeld 529"/>
        <xdr:cNvSpPr txBox="1"/>
      </xdr:nvSpPr>
      <xdr:spPr>
        <a:xfrm>
          <a:off x="10191751" y="10967357"/>
          <a:ext cx="3279322" cy="217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B218516-618A-44B9-B3C8-58F0A10287EE}" type="TxLink">
            <a:rPr lang="en-US" sz="1100" b="1" i="0" u="none" strike="noStrike">
              <a:solidFill>
                <a:srgbClr val="FF0000"/>
              </a:solidFill>
              <a:latin typeface="Calibri"/>
              <a:ea typeface="Verdana"/>
              <a:cs typeface="Calibri"/>
            </a:rPr>
            <a:pPr marL="0" indent="0" algn="ctr"/>
            <a:t> </a:t>
          </a:fld>
          <a:endParaRPr lang="de-AT" sz="1100" b="1" i="0" u="none" strike="noStrike">
            <a:solidFill>
              <a:srgbClr val="FF0000"/>
            </a:solidFill>
            <a:latin typeface="Calibri"/>
            <a:ea typeface="Verdana"/>
            <a:cs typeface="Calibri"/>
          </a:endParaRPr>
        </a:p>
      </xdr:txBody>
    </xdr:sp>
    <xdr:clientData/>
  </xdr:twoCellAnchor>
  <xdr:twoCellAnchor>
    <xdr:from>
      <xdr:col>3</xdr:col>
      <xdr:colOff>239729</xdr:colOff>
      <xdr:row>5</xdr:row>
      <xdr:rowOff>2194715</xdr:rowOff>
    </xdr:from>
    <xdr:to>
      <xdr:col>3</xdr:col>
      <xdr:colOff>464485</xdr:colOff>
      <xdr:row>5</xdr:row>
      <xdr:rowOff>2640846</xdr:rowOff>
    </xdr:to>
    <xdr:sp macro="" textlink="VIONARO!K19">
      <xdr:nvSpPr>
        <xdr:cNvPr id="531" name="Textfeld 530"/>
        <xdr:cNvSpPr txBox="1"/>
      </xdr:nvSpPr>
      <xdr:spPr>
        <a:xfrm rot="16200000">
          <a:off x="10375220" y="13572117"/>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4BB17A0-D97B-4A18-BA4D-3678C344626E}" type="TxLink">
            <a:rPr lang="en-US" sz="800" b="0" i="0" u="none" strike="noStrike">
              <a:solidFill>
                <a:sysClr val="windowText" lastClr="000000"/>
              </a:solidFill>
              <a:latin typeface="Calibri"/>
              <a:ea typeface="Verdana"/>
              <a:cs typeface="Calibri"/>
            </a:rPr>
            <a:pPr algn="ctr"/>
            <a:t>705</a:t>
          </a:fld>
          <a:endParaRPr lang="de-AT" sz="1100" b="0">
            <a:solidFill>
              <a:sysClr val="windowText" lastClr="000000"/>
            </a:solidFill>
          </a:endParaRPr>
        </a:p>
      </xdr:txBody>
    </xdr:sp>
    <xdr:clientData/>
  </xdr:twoCellAnchor>
  <xdr:twoCellAnchor>
    <xdr:from>
      <xdr:col>3</xdr:col>
      <xdr:colOff>1408701</xdr:colOff>
      <xdr:row>5</xdr:row>
      <xdr:rowOff>286516</xdr:rowOff>
    </xdr:from>
    <xdr:to>
      <xdr:col>3</xdr:col>
      <xdr:colOff>1854832</xdr:colOff>
      <xdr:row>5</xdr:row>
      <xdr:rowOff>511272</xdr:rowOff>
    </xdr:to>
    <xdr:sp macro="" textlink="VIONARO!I8">
      <xdr:nvSpPr>
        <xdr:cNvPr id="532" name="Textfeld 531"/>
        <xdr:cNvSpPr txBox="1"/>
      </xdr:nvSpPr>
      <xdr:spPr>
        <a:xfrm>
          <a:off x="11654880" y="11553230"/>
          <a:ext cx="446131" cy="22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B4C24CF-A547-4F89-9FBA-E4C16C8A3187}" type="TxLink">
            <a:rPr lang="en-US" sz="800" b="0" i="0" u="none" strike="noStrike">
              <a:solidFill>
                <a:srgbClr val="000000"/>
              </a:solidFill>
              <a:latin typeface="Calibri"/>
              <a:ea typeface="Verdana"/>
              <a:cs typeface="Calibri"/>
            </a:rPr>
            <a:pPr algn="ctr"/>
            <a:t>508</a:t>
          </a:fld>
          <a:endParaRPr lang="de-AT" sz="1100">
            <a:solidFill>
              <a:sysClr val="windowText" lastClr="000000"/>
            </a:solidFill>
          </a:endParaRPr>
        </a:p>
      </xdr:txBody>
    </xdr:sp>
    <xdr:clientData/>
  </xdr:twoCellAnchor>
  <xdr:twoCellAnchor>
    <xdr:from>
      <xdr:col>0</xdr:col>
      <xdr:colOff>669473</xdr:colOff>
      <xdr:row>5</xdr:row>
      <xdr:rowOff>4261758</xdr:rowOff>
    </xdr:from>
    <xdr:to>
      <xdr:col>0</xdr:col>
      <xdr:colOff>2707822</xdr:colOff>
      <xdr:row>5</xdr:row>
      <xdr:rowOff>4476751</xdr:rowOff>
    </xdr:to>
    <xdr:sp macro="" textlink="Formeln!AX20">
      <xdr:nvSpPr>
        <xdr:cNvPr id="533" name="Textfeld 532"/>
        <xdr:cNvSpPr txBox="1"/>
      </xdr:nvSpPr>
      <xdr:spPr>
        <a:xfrm>
          <a:off x="669473" y="15528472"/>
          <a:ext cx="2038349" cy="214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2464B2E-C1CD-47D7-A92F-05746282A991}" type="TxLink">
            <a:rPr lang="en-US" sz="1100" b="1" i="0" u="none" strike="noStrike">
              <a:solidFill>
                <a:srgbClr val="FF0000"/>
              </a:solidFill>
              <a:latin typeface="Calibri"/>
              <a:ea typeface="Verdana"/>
              <a:cs typeface="Calibri"/>
            </a:rPr>
            <a:pPr marL="0" indent="0" algn="ctr"/>
            <a:t>-- = Wiercenie niewymagane</a:t>
          </a:fld>
          <a:endParaRPr lang="de-AT" sz="1100" b="1" i="0" u="none" strike="noStrike">
            <a:solidFill>
              <a:srgbClr val="FF0000"/>
            </a:solidFill>
            <a:latin typeface="Calibri"/>
            <a:ea typeface="Verdana"/>
            <a:cs typeface="Calibri"/>
          </a:endParaRPr>
        </a:p>
      </xdr:txBody>
    </xdr:sp>
    <xdr:clientData/>
  </xdr:twoCellAnchor>
  <xdr:twoCellAnchor>
    <xdr:from>
      <xdr:col>1</xdr:col>
      <xdr:colOff>658587</xdr:colOff>
      <xdr:row>5</xdr:row>
      <xdr:rowOff>4250872</xdr:rowOff>
    </xdr:from>
    <xdr:to>
      <xdr:col>1</xdr:col>
      <xdr:colOff>2696936</xdr:colOff>
      <xdr:row>5</xdr:row>
      <xdr:rowOff>4465865</xdr:rowOff>
    </xdr:to>
    <xdr:sp macro="" textlink="Formeln!AX28">
      <xdr:nvSpPr>
        <xdr:cNvPr id="534" name="Textfeld 533"/>
        <xdr:cNvSpPr txBox="1"/>
      </xdr:nvSpPr>
      <xdr:spPr>
        <a:xfrm>
          <a:off x="4073980" y="15517586"/>
          <a:ext cx="2038349" cy="214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4055837-B5E3-4BA5-8086-48045A58323B}" type="TxLink">
            <a:rPr lang="en-US" sz="1100" b="1" i="0" u="none" strike="noStrike">
              <a:solidFill>
                <a:srgbClr val="FF0000"/>
              </a:solidFill>
              <a:latin typeface="Calibri"/>
              <a:ea typeface="Verdana"/>
              <a:cs typeface="Calibri"/>
            </a:rPr>
            <a:pPr marL="0" indent="0" algn="ctr"/>
            <a:t>-- = Wiercenie niewymagane</a:t>
          </a:fld>
          <a:endParaRPr lang="de-AT" sz="1100" b="1" i="0" u="none" strike="noStrike">
            <a:solidFill>
              <a:srgbClr val="FF0000"/>
            </a:solidFill>
            <a:latin typeface="Calibri"/>
            <a:ea typeface="Verdana"/>
            <a:cs typeface="Calibri"/>
          </a:endParaRPr>
        </a:p>
      </xdr:txBody>
    </xdr:sp>
    <xdr:clientData/>
  </xdr:twoCellAnchor>
  <xdr:twoCellAnchor>
    <xdr:from>
      <xdr:col>2</xdr:col>
      <xdr:colOff>688522</xdr:colOff>
      <xdr:row>5</xdr:row>
      <xdr:rowOff>4267200</xdr:rowOff>
    </xdr:from>
    <xdr:to>
      <xdr:col>2</xdr:col>
      <xdr:colOff>2726871</xdr:colOff>
      <xdr:row>5</xdr:row>
      <xdr:rowOff>4482193</xdr:rowOff>
    </xdr:to>
    <xdr:sp macro="" textlink="Formeln!AX36">
      <xdr:nvSpPr>
        <xdr:cNvPr id="535" name="Textfeld 534"/>
        <xdr:cNvSpPr txBox="1"/>
      </xdr:nvSpPr>
      <xdr:spPr>
        <a:xfrm>
          <a:off x="7519308" y="15533914"/>
          <a:ext cx="2038349" cy="214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CF5FAB8-8A2E-4C86-A2EC-21E8B84F9F88}" type="TxLink">
            <a:rPr lang="en-US" sz="1100" b="1" i="0" u="none" strike="noStrike">
              <a:solidFill>
                <a:srgbClr val="FF0000"/>
              </a:solidFill>
              <a:latin typeface="Calibri"/>
              <a:ea typeface="Verdana"/>
              <a:cs typeface="Calibri"/>
            </a:rPr>
            <a:pPr marL="0" indent="0" algn="ctr"/>
            <a:t>-- = Wiercenie niewymagane</a:t>
          </a:fld>
          <a:endParaRPr lang="de-AT" sz="1100" b="1" i="0" u="none" strike="noStrike">
            <a:solidFill>
              <a:srgbClr val="FF0000"/>
            </a:solidFill>
            <a:latin typeface="Calibri"/>
            <a:ea typeface="Verdana"/>
            <a:cs typeface="Calibri"/>
          </a:endParaRPr>
        </a:p>
      </xdr:txBody>
    </xdr:sp>
    <xdr:clientData/>
  </xdr:twoCellAnchor>
  <xdr:twoCellAnchor>
    <xdr:from>
      <xdr:col>3</xdr:col>
      <xdr:colOff>664029</xdr:colOff>
      <xdr:row>5</xdr:row>
      <xdr:rowOff>4215493</xdr:rowOff>
    </xdr:from>
    <xdr:to>
      <xdr:col>3</xdr:col>
      <xdr:colOff>2702378</xdr:colOff>
      <xdr:row>5</xdr:row>
      <xdr:rowOff>4430486</xdr:rowOff>
    </xdr:to>
    <xdr:sp macro="" textlink="Formeln!AX44">
      <xdr:nvSpPr>
        <xdr:cNvPr id="536" name="Textfeld 535"/>
        <xdr:cNvSpPr txBox="1"/>
      </xdr:nvSpPr>
      <xdr:spPr>
        <a:xfrm>
          <a:off x="10910208" y="15482207"/>
          <a:ext cx="2038349" cy="214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8F22329-D643-47BA-9333-7DB867EE3313}" type="TxLink">
            <a:rPr lang="en-US" sz="1100" b="1" i="0" u="none" strike="noStrike">
              <a:solidFill>
                <a:srgbClr val="FF0000"/>
              </a:solidFill>
              <a:latin typeface="Calibri"/>
              <a:ea typeface="Verdana"/>
              <a:cs typeface="Calibri"/>
            </a:rPr>
            <a:pPr marL="0" indent="0" algn="ctr"/>
            <a:t>-- = Wiercenie niewymagane</a:t>
          </a:fld>
          <a:endParaRPr lang="de-AT" sz="1100" b="1" i="0" u="none" strike="noStrike">
            <a:solidFill>
              <a:srgbClr val="FF0000"/>
            </a:solidFill>
            <a:latin typeface="Calibri"/>
            <a:ea typeface="Verdan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866775</xdr:colOff>
      <xdr:row>13</xdr:row>
      <xdr:rowOff>133350</xdr:rowOff>
    </xdr:from>
    <xdr:to>
      <xdr:col>6</xdr:col>
      <xdr:colOff>57150</xdr:colOff>
      <xdr:row>22</xdr:row>
      <xdr:rowOff>66675</xdr:rowOff>
    </xdr:to>
    <xdr:sp macro="" textlink="">
      <xdr:nvSpPr>
        <xdr:cNvPr id="3" name="Rechteck 2"/>
        <xdr:cNvSpPr/>
      </xdr:nvSpPr>
      <xdr:spPr>
        <a:xfrm>
          <a:off x="1143000" y="1400175"/>
          <a:ext cx="1943100" cy="15621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276225</xdr:colOff>
      <xdr:row>12</xdr:row>
      <xdr:rowOff>9525</xdr:rowOff>
    </xdr:from>
    <xdr:to>
      <xdr:col>2</xdr:col>
      <xdr:colOff>876301</xdr:colOff>
      <xdr:row>13</xdr:row>
      <xdr:rowOff>133352</xdr:rowOff>
    </xdr:to>
    <xdr:cxnSp macro="">
      <xdr:nvCxnSpPr>
        <xdr:cNvPr id="4" name="Gerade Verbindung 3"/>
        <xdr:cNvCxnSpPr/>
      </xdr:nvCxnSpPr>
      <xdr:spPr>
        <a:xfrm flipH="1" flipV="1">
          <a:off x="552450" y="1095375"/>
          <a:ext cx="600076" cy="30480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20</xdr:row>
      <xdr:rowOff>133350</xdr:rowOff>
    </xdr:from>
    <xdr:to>
      <xdr:col>2</xdr:col>
      <xdr:colOff>866776</xdr:colOff>
      <xdr:row>22</xdr:row>
      <xdr:rowOff>66677</xdr:rowOff>
    </xdr:to>
    <xdr:cxnSp macro="">
      <xdr:nvCxnSpPr>
        <xdr:cNvPr id="5" name="Gerade Verbindung 4"/>
        <xdr:cNvCxnSpPr/>
      </xdr:nvCxnSpPr>
      <xdr:spPr>
        <a:xfrm flipH="1" flipV="1">
          <a:off x="542925" y="2667000"/>
          <a:ext cx="600076" cy="29527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265339</xdr:colOff>
      <xdr:row>12</xdr:row>
      <xdr:rowOff>9526</xdr:rowOff>
    </xdr:from>
    <xdr:to>
      <xdr:col>2</xdr:col>
      <xdr:colOff>276906</xdr:colOff>
      <xdr:row>20</xdr:row>
      <xdr:rowOff>136071</xdr:rowOff>
    </xdr:to>
    <xdr:cxnSp macro="">
      <xdr:nvCxnSpPr>
        <xdr:cNvPr id="6" name="Gerade Verbindung 5"/>
        <xdr:cNvCxnSpPr/>
      </xdr:nvCxnSpPr>
      <xdr:spPr>
        <a:xfrm flipV="1">
          <a:off x="541564" y="1095376"/>
          <a:ext cx="11567" cy="15743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471236</xdr:colOff>
      <xdr:row>20</xdr:row>
      <xdr:rowOff>35091</xdr:rowOff>
    </xdr:from>
    <xdr:to>
      <xdr:col>2</xdr:col>
      <xdr:colOff>862263</xdr:colOff>
      <xdr:row>21</xdr:row>
      <xdr:rowOff>53142</xdr:rowOff>
    </xdr:to>
    <xdr:cxnSp macro="">
      <xdr:nvCxnSpPr>
        <xdr:cNvPr id="8" name="Gerade Verbindung 7"/>
        <xdr:cNvCxnSpPr/>
      </xdr:nvCxnSpPr>
      <xdr:spPr>
        <a:xfrm flipH="1" flipV="1">
          <a:off x="747461" y="2568741"/>
          <a:ext cx="391027" cy="199026"/>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866775</xdr:colOff>
      <xdr:row>13</xdr:row>
      <xdr:rowOff>133350</xdr:rowOff>
    </xdr:from>
    <xdr:to>
      <xdr:col>6</xdr:col>
      <xdr:colOff>57150</xdr:colOff>
      <xdr:row>22</xdr:row>
      <xdr:rowOff>66675</xdr:rowOff>
    </xdr:to>
    <xdr:sp macro="" textlink="">
      <xdr:nvSpPr>
        <xdr:cNvPr id="14" name="Rechteck 13"/>
        <xdr:cNvSpPr/>
      </xdr:nvSpPr>
      <xdr:spPr>
        <a:xfrm>
          <a:off x="1143000" y="1400175"/>
          <a:ext cx="1943100" cy="15621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276225</xdr:colOff>
      <xdr:row>12</xdr:row>
      <xdr:rowOff>9525</xdr:rowOff>
    </xdr:from>
    <xdr:to>
      <xdr:col>2</xdr:col>
      <xdr:colOff>876301</xdr:colOff>
      <xdr:row>13</xdr:row>
      <xdr:rowOff>133352</xdr:rowOff>
    </xdr:to>
    <xdr:cxnSp macro="">
      <xdr:nvCxnSpPr>
        <xdr:cNvPr id="15" name="Gerade Verbindung 14"/>
        <xdr:cNvCxnSpPr/>
      </xdr:nvCxnSpPr>
      <xdr:spPr>
        <a:xfrm flipH="1" flipV="1">
          <a:off x="552450" y="1095375"/>
          <a:ext cx="600076" cy="30480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20</xdr:row>
      <xdr:rowOff>133350</xdr:rowOff>
    </xdr:from>
    <xdr:to>
      <xdr:col>2</xdr:col>
      <xdr:colOff>866776</xdr:colOff>
      <xdr:row>22</xdr:row>
      <xdr:rowOff>66677</xdr:rowOff>
    </xdr:to>
    <xdr:cxnSp macro="">
      <xdr:nvCxnSpPr>
        <xdr:cNvPr id="16" name="Gerade Verbindung 15"/>
        <xdr:cNvCxnSpPr/>
      </xdr:nvCxnSpPr>
      <xdr:spPr>
        <a:xfrm flipH="1" flipV="1">
          <a:off x="542925" y="2667000"/>
          <a:ext cx="600076" cy="29527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265339</xdr:colOff>
      <xdr:row>12</xdr:row>
      <xdr:rowOff>9526</xdr:rowOff>
    </xdr:from>
    <xdr:to>
      <xdr:col>2</xdr:col>
      <xdr:colOff>276906</xdr:colOff>
      <xdr:row>20</xdr:row>
      <xdr:rowOff>136071</xdr:rowOff>
    </xdr:to>
    <xdr:cxnSp macro="">
      <xdr:nvCxnSpPr>
        <xdr:cNvPr id="17" name="Gerade Verbindung 16"/>
        <xdr:cNvCxnSpPr/>
      </xdr:nvCxnSpPr>
      <xdr:spPr>
        <a:xfrm flipV="1">
          <a:off x="541564" y="1095376"/>
          <a:ext cx="11567" cy="15743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471236</xdr:colOff>
      <xdr:row>20</xdr:row>
      <xdr:rowOff>35091</xdr:rowOff>
    </xdr:from>
    <xdr:to>
      <xdr:col>2</xdr:col>
      <xdr:colOff>862263</xdr:colOff>
      <xdr:row>21</xdr:row>
      <xdr:rowOff>53142</xdr:rowOff>
    </xdr:to>
    <xdr:cxnSp macro="">
      <xdr:nvCxnSpPr>
        <xdr:cNvPr id="19" name="Gerade Verbindung 18"/>
        <xdr:cNvCxnSpPr/>
      </xdr:nvCxnSpPr>
      <xdr:spPr>
        <a:xfrm flipH="1" flipV="1">
          <a:off x="747461" y="2568741"/>
          <a:ext cx="391027" cy="199026"/>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406976</xdr:colOff>
      <xdr:row>13</xdr:row>
      <xdr:rowOff>145915</xdr:rowOff>
    </xdr:from>
    <xdr:to>
      <xdr:col>6</xdr:col>
      <xdr:colOff>52819</xdr:colOff>
      <xdr:row>22</xdr:row>
      <xdr:rowOff>60891</xdr:rowOff>
    </xdr:to>
    <xdr:sp macro="" textlink="">
      <xdr:nvSpPr>
        <xdr:cNvPr id="28" name="Rechteck 27"/>
        <xdr:cNvSpPr/>
      </xdr:nvSpPr>
      <xdr:spPr>
        <a:xfrm>
          <a:off x="3454976" y="2622415"/>
          <a:ext cx="1169843" cy="1629476"/>
        </a:xfrm>
        <a:prstGeom prst="rect">
          <a:avLst/>
        </a:prstGeom>
        <a:gradFill flip="none" rotWithShape="1">
          <a:gsLst>
            <a:gs pos="0">
              <a:srgbClr val="008000"/>
            </a:gs>
            <a:gs pos="59000">
              <a:srgbClr val="009900"/>
            </a:gs>
            <a:gs pos="100000">
              <a:schemeClr val="bg1"/>
            </a:gs>
          </a:gsLst>
          <a:lin ang="1080000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81064</xdr:colOff>
      <xdr:row>21</xdr:row>
      <xdr:rowOff>60798</xdr:rowOff>
    </xdr:from>
    <xdr:to>
      <xdr:col>3</xdr:col>
      <xdr:colOff>85209</xdr:colOff>
      <xdr:row>22</xdr:row>
      <xdr:rowOff>28464</xdr:rowOff>
    </xdr:to>
    <xdr:cxnSp macro="">
      <xdr:nvCxnSpPr>
        <xdr:cNvPr id="30" name="Gerade Verbindung mit Pfeil 29"/>
        <xdr:cNvCxnSpPr/>
      </xdr:nvCxnSpPr>
      <xdr:spPr>
        <a:xfrm flipH="1" flipV="1">
          <a:off x="2367064" y="4061298"/>
          <a:ext cx="4145" cy="158166"/>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103909</xdr:colOff>
      <xdr:row>13</xdr:row>
      <xdr:rowOff>125557</xdr:rowOff>
    </xdr:from>
    <xdr:to>
      <xdr:col>6</xdr:col>
      <xdr:colOff>108243</xdr:colOff>
      <xdr:row>22</xdr:row>
      <xdr:rowOff>77932</xdr:rowOff>
    </xdr:to>
    <xdr:cxnSp macro="">
      <xdr:nvCxnSpPr>
        <xdr:cNvPr id="32" name="Gerade Verbindung mit Pfeil 31"/>
        <xdr:cNvCxnSpPr/>
      </xdr:nvCxnSpPr>
      <xdr:spPr>
        <a:xfrm>
          <a:off x="4675909" y="2602057"/>
          <a:ext cx="4334" cy="1666875"/>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34636</xdr:colOff>
      <xdr:row>13</xdr:row>
      <xdr:rowOff>177511</xdr:rowOff>
    </xdr:from>
    <xdr:to>
      <xdr:col>3</xdr:col>
      <xdr:colOff>34636</xdr:colOff>
      <xdr:row>22</xdr:row>
      <xdr:rowOff>25977</xdr:rowOff>
    </xdr:to>
    <xdr:cxnSp macro="">
      <xdr:nvCxnSpPr>
        <xdr:cNvPr id="35" name="Gerade Verbindung 34"/>
        <xdr:cNvCxnSpPr/>
      </xdr:nvCxnSpPr>
      <xdr:spPr>
        <a:xfrm>
          <a:off x="2320636" y="2654011"/>
          <a:ext cx="0" cy="15629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330683</xdr:colOff>
      <xdr:row>12</xdr:row>
      <xdr:rowOff>5413</xdr:rowOff>
    </xdr:from>
    <xdr:to>
      <xdr:col>6</xdr:col>
      <xdr:colOff>54459</xdr:colOff>
      <xdr:row>13</xdr:row>
      <xdr:rowOff>129240</xdr:rowOff>
    </xdr:to>
    <xdr:cxnSp macro="">
      <xdr:nvCxnSpPr>
        <xdr:cNvPr id="37" name="Gerade Verbindung 36"/>
        <xdr:cNvCxnSpPr/>
      </xdr:nvCxnSpPr>
      <xdr:spPr>
        <a:xfrm flipH="1" flipV="1">
          <a:off x="4140683" y="2291413"/>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36479</xdr:colOff>
      <xdr:row>13</xdr:row>
      <xdr:rowOff>174287</xdr:rowOff>
    </xdr:from>
    <xdr:to>
      <xdr:col>3</xdr:col>
      <xdr:colOff>571500</xdr:colOff>
      <xdr:row>13</xdr:row>
      <xdr:rowOff>174288</xdr:rowOff>
    </xdr:to>
    <xdr:cxnSp macro="">
      <xdr:nvCxnSpPr>
        <xdr:cNvPr id="39" name="Gerade Verbindung 38"/>
        <xdr:cNvCxnSpPr/>
      </xdr:nvCxnSpPr>
      <xdr:spPr>
        <a:xfrm flipV="1">
          <a:off x="2322479" y="265078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34858</xdr:colOff>
      <xdr:row>22</xdr:row>
      <xdr:rowOff>26751</xdr:rowOff>
    </xdr:from>
    <xdr:to>
      <xdr:col>3</xdr:col>
      <xdr:colOff>569879</xdr:colOff>
      <xdr:row>22</xdr:row>
      <xdr:rowOff>26752</xdr:rowOff>
    </xdr:to>
    <xdr:cxnSp macro="">
      <xdr:nvCxnSpPr>
        <xdr:cNvPr id="43" name="Gerade Verbindung 42"/>
        <xdr:cNvCxnSpPr/>
      </xdr:nvCxnSpPr>
      <xdr:spPr>
        <a:xfrm flipV="1">
          <a:off x="2320858" y="4217751"/>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489546</xdr:colOff>
      <xdr:row>13</xdr:row>
      <xdr:rowOff>176475</xdr:rowOff>
    </xdr:from>
    <xdr:to>
      <xdr:col>4</xdr:col>
      <xdr:colOff>262567</xdr:colOff>
      <xdr:row>13</xdr:row>
      <xdr:rowOff>176476</xdr:rowOff>
    </xdr:to>
    <xdr:cxnSp macro="">
      <xdr:nvCxnSpPr>
        <xdr:cNvPr id="44" name="Gerade Verbindung 43"/>
        <xdr:cNvCxnSpPr/>
      </xdr:nvCxnSpPr>
      <xdr:spPr>
        <a:xfrm flipV="1">
          <a:off x="2775546" y="265297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475034</xdr:colOff>
      <xdr:row>22</xdr:row>
      <xdr:rowOff>25372</xdr:rowOff>
    </xdr:from>
    <xdr:to>
      <xdr:col>4</xdr:col>
      <xdr:colOff>248055</xdr:colOff>
      <xdr:row>22</xdr:row>
      <xdr:rowOff>25373</xdr:rowOff>
    </xdr:to>
    <xdr:cxnSp macro="">
      <xdr:nvCxnSpPr>
        <xdr:cNvPr id="45" name="Gerade Verbindung 44"/>
        <xdr:cNvCxnSpPr/>
      </xdr:nvCxnSpPr>
      <xdr:spPr>
        <a:xfrm flipV="1">
          <a:off x="2761034" y="4216372"/>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274322</xdr:colOff>
      <xdr:row>12</xdr:row>
      <xdr:rowOff>7620</xdr:rowOff>
    </xdr:from>
    <xdr:to>
      <xdr:col>5</xdr:col>
      <xdr:colOff>346710</xdr:colOff>
      <xdr:row>12</xdr:row>
      <xdr:rowOff>7620</xdr:rowOff>
    </xdr:to>
    <xdr:cxnSp macro="">
      <xdr:nvCxnSpPr>
        <xdr:cNvPr id="47" name="Gerade Verbindung 46"/>
        <xdr:cNvCxnSpPr/>
      </xdr:nvCxnSpPr>
      <xdr:spPr>
        <a:xfrm flipH="1">
          <a:off x="1798322" y="2293620"/>
          <a:ext cx="23583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866775</xdr:colOff>
      <xdr:row>13</xdr:row>
      <xdr:rowOff>133350</xdr:rowOff>
    </xdr:from>
    <xdr:to>
      <xdr:col>12</xdr:col>
      <xdr:colOff>57150</xdr:colOff>
      <xdr:row>22</xdr:row>
      <xdr:rowOff>66675</xdr:rowOff>
    </xdr:to>
    <xdr:sp macro="" textlink="">
      <xdr:nvSpPr>
        <xdr:cNvPr id="52" name="Rechteck 51"/>
        <xdr:cNvSpPr/>
      </xdr:nvSpPr>
      <xdr:spPr>
        <a:xfrm>
          <a:off x="2286000" y="2609850"/>
          <a:ext cx="2343150" cy="1647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8</xdr:col>
      <xdr:colOff>276225</xdr:colOff>
      <xdr:row>12</xdr:row>
      <xdr:rowOff>9525</xdr:rowOff>
    </xdr:from>
    <xdr:to>
      <xdr:col>8</xdr:col>
      <xdr:colOff>876301</xdr:colOff>
      <xdr:row>13</xdr:row>
      <xdr:rowOff>133352</xdr:rowOff>
    </xdr:to>
    <xdr:cxnSp macro="">
      <xdr:nvCxnSpPr>
        <xdr:cNvPr id="53" name="Gerade Verbindung 52"/>
        <xdr:cNvCxnSpPr/>
      </xdr:nvCxnSpPr>
      <xdr:spPr>
        <a:xfrm flipH="1" flipV="1">
          <a:off x="1800225" y="2295525"/>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266700</xdr:colOff>
      <xdr:row>20</xdr:row>
      <xdr:rowOff>133350</xdr:rowOff>
    </xdr:from>
    <xdr:to>
      <xdr:col>8</xdr:col>
      <xdr:colOff>866776</xdr:colOff>
      <xdr:row>22</xdr:row>
      <xdr:rowOff>66677</xdr:rowOff>
    </xdr:to>
    <xdr:cxnSp macro="">
      <xdr:nvCxnSpPr>
        <xdr:cNvPr id="54" name="Gerade Verbindung 53"/>
        <xdr:cNvCxnSpPr/>
      </xdr:nvCxnSpPr>
      <xdr:spPr>
        <a:xfrm flipH="1" flipV="1">
          <a:off x="1790700" y="3943350"/>
          <a:ext cx="495301"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265339</xdr:colOff>
      <xdr:row>12</xdr:row>
      <xdr:rowOff>9526</xdr:rowOff>
    </xdr:from>
    <xdr:to>
      <xdr:col>8</xdr:col>
      <xdr:colOff>276906</xdr:colOff>
      <xdr:row>20</xdr:row>
      <xdr:rowOff>136071</xdr:rowOff>
    </xdr:to>
    <xdr:cxnSp macro="">
      <xdr:nvCxnSpPr>
        <xdr:cNvPr id="55" name="Gerade Verbindung 54"/>
        <xdr:cNvCxnSpPr/>
      </xdr:nvCxnSpPr>
      <xdr:spPr>
        <a:xfrm flipV="1">
          <a:off x="1789339" y="2295526"/>
          <a:ext cx="11567" cy="16505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471236</xdr:colOff>
      <xdr:row>20</xdr:row>
      <xdr:rowOff>35091</xdr:rowOff>
    </xdr:from>
    <xdr:to>
      <xdr:col>8</xdr:col>
      <xdr:colOff>862263</xdr:colOff>
      <xdr:row>21</xdr:row>
      <xdr:rowOff>53142</xdr:rowOff>
    </xdr:to>
    <xdr:cxnSp macro="">
      <xdr:nvCxnSpPr>
        <xdr:cNvPr id="56" name="Gerade Verbindung 55"/>
        <xdr:cNvCxnSpPr/>
      </xdr:nvCxnSpPr>
      <xdr:spPr>
        <a:xfrm flipH="1" flipV="1">
          <a:off x="1995236" y="384509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866775</xdr:colOff>
      <xdr:row>13</xdr:row>
      <xdr:rowOff>133350</xdr:rowOff>
    </xdr:from>
    <xdr:to>
      <xdr:col>12</xdr:col>
      <xdr:colOff>57150</xdr:colOff>
      <xdr:row>22</xdr:row>
      <xdr:rowOff>66675</xdr:rowOff>
    </xdr:to>
    <xdr:sp macro="" textlink="">
      <xdr:nvSpPr>
        <xdr:cNvPr id="57" name="Rechteck 56"/>
        <xdr:cNvSpPr/>
      </xdr:nvSpPr>
      <xdr:spPr>
        <a:xfrm>
          <a:off x="2286000" y="2609850"/>
          <a:ext cx="2343150" cy="1647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8</xdr:col>
      <xdr:colOff>276225</xdr:colOff>
      <xdr:row>12</xdr:row>
      <xdr:rowOff>9525</xdr:rowOff>
    </xdr:from>
    <xdr:to>
      <xdr:col>8</xdr:col>
      <xdr:colOff>876301</xdr:colOff>
      <xdr:row>13</xdr:row>
      <xdr:rowOff>133352</xdr:rowOff>
    </xdr:to>
    <xdr:cxnSp macro="">
      <xdr:nvCxnSpPr>
        <xdr:cNvPr id="58" name="Gerade Verbindung 57"/>
        <xdr:cNvCxnSpPr/>
      </xdr:nvCxnSpPr>
      <xdr:spPr>
        <a:xfrm flipH="1" flipV="1">
          <a:off x="1800225" y="2295525"/>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266700</xdr:colOff>
      <xdr:row>20</xdr:row>
      <xdr:rowOff>133350</xdr:rowOff>
    </xdr:from>
    <xdr:to>
      <xdr:col>8</xdr:col>
      <xdr:colOff>866776</xdr:colOff>
      <xdr:row>22</xdr:row>
      <xdr:rowOff>66677</xdr:rowOff>
    </xdr:to>
    <xdr:cxnSp macro="">
      <xdr:nvCxnSpPr>
        <xdr:cNvPr id="59" name="Gerade Verbindung 58"/>
        <xdr:cNvCxnSpPr/>
      </xdr:nvCxnSpPr>
      <xdr:spPr>
        <a:xfrm flipH="1" flipV="1">
          <a:off x="1790700" y="3943350"/>
          <a:ext cx="495301"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265339</xdr:colOff>
      <xdr:row>12</xdr:row>
      <xdr:rowOff>9526</xdr:rowOff>
    </xdr:from>
    <xdr:to>
      <xdr:col>8</xdr:col>
      <xdr:colOff>276906</xdr:colOff>
      <xdr:row>20</xdr:row>
      <xdr:rowOff>136071</xdr:rowOff>
    </xdr:to>
    <xdr:cxnSp macro="">
      <xdr:nvCxnSpPr>
        <xdr:cNvPr id="60" name="Gerade Verbindung 59"/>
        <xdr:cNvCxnSpPr/>
      </xdr:nvCxnSpPr>
      <xdr:spPr>
        <a:xfrm flipV="1">
          <a:off x="1789339" y="2295526"/>
          <a:ext cx="11567" cy="16505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471236</xdr:colOff>
      <xdr:row>20</xdr:row>
      <xdr:rowOff>35091</xdr:rowOff>
    </xdr:from>
    <xdr:to>
      <xdr:col>8</xdr:col>
      <xdr:colOff>862263</xdr:colOff>
      <xdr:row>21</xdr:row>
      <xdr:rowOff>53142</xdr:rowOff>
    </xdr:to>
    <xdr:cxnSp macro="">
      <xdr:nvCxnSpPr>
        <xdr:cNvPr id="61" name="Gerade Verbindung 60"/>
        <xdr:cNvCxnSpPr/>
      </xdr:nvCxnSpPr>
      <xdr:spPr>
        <a:xfrm flipH="1" flipV="1">
          <a:off x="1995236" y="384509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406976</xdr:colOff>
      <xdr:row>13</xdr:row>
      <xdr:rowOff>145915</xdr:rowOff>
    </xdr:from>
    <xdr:to>
      <xdr:col>12</xdr:col>
      <xdr:colOff>52819</xdr:colOff>
      <xdr:row>22</xdr:row>
      <xdr:rowOff>60891</xdr:rowOff>
    </xdr:to>
    <xdr:sp macro="" textlink="">
      <xdr:nvSpPr>
        <xdr:cNvPr id="62" name="Rechteck 61"/>
        <xdr:cNvSpPr/>
      </xdr:nvSpPr>
      <xdr:spPr>
        <a:xfrm>
          <a:off x="3454976" y="2622415"/>
          <a:ext cx="1169843" cy="1629476"/>
        </a:xfrm>
        <a:prstGeom prst="rect">
          <a:avLst/>
        </a:prstGeom>
        <a:gradFill flip="none" rotWithShape="1">
          <a:gsLst>
            <a:gs pos="0">
              <a:srgbClr val="008000"/>
            </a:gs>
            <a:gs pos="59000">
              <a:srgbClr val="009900"/>
            </a:gs>
            <a:gs pos="100000">
              <a:schemeClr val="bg1"/>
            </a:gs>
          </a:gsLst>
          <a:lin ang="1080000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81064</xdr:colOff>
      <xdr:row>21</xdr:row>
      <xdr:rowOff>60798</xdr:rowOff>
    </xdr:from>
    <xdr:to>
      <xdr:col>9</xdr:col>
      <xdr:colOff>85209</xdr:colOff>
      <xdr:row>22</xdr:row>
      <xdr:rowOff>28464</xdr:rowOff>
    </xdr:to>
    <xdr:cxnSp macro="">
      <xdr:nvCxnSpPr>
        <xdr:cNvPr id="63" name="Gerade Verbindung mit Pfeil 62"/>
        <xdr:cNvCxnSpPr/>
      </xdr:nvCxnSpPr>
      <xdr:spPr>
        <a:xfrm flipH="1" flipV="1">
          <a:off x="2367064" y="4061298"/>
          <a:ext cx="4145" cy="158166"/>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108243</xdr:colOff>
      <xdr:row>18</xdr:row>
      <xdr:rowOff>38100</xdr:rowOff>
    </xdr:from>
    <xdr:to>
      <xdr:col>12</xdr:col>
      <xdr:colOff>110490</xdr:colOff>
      <xdr:row>22</xdr:row>
      <xdr:rowOff>77932</xdr:rowOff>
    </xdr:to>
    <xdr:cxnSp macro="">
      <xdr:nvCxnSpPr>
        <xdr:cNvPr id="64" name="Gerade Verbindung mit Pfeil 63"/>
        <xdr:cNvCxnSpPr/>
      </xdr:nvCxnSpPr>
      <xdr:spPr>
        <a:xfrm flipH="1">
          <a:off x="9252243" y="3467100"/>
          <a:ext cx="2247" cy="801832"/>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34636</xdr:colOff>
      <xdr:row>13</xdr:row>
      <xdr:rowOff>177511</xdr:rowOff>
    </xdr:from>
    <xdr:to>
      <xdr:col>9</xdr:col>
      <xdr:colOff>34636</xdr:colOff>
      <xdr:row>22</xdr:row>
      <xdr:rowOff>25977</xdr:rowOff>
    </xdr:to>
    <xdr:cxnSp macro="">
      <xdr:nvCxnSpPr>
        <xdr:cNvPr id="65" name="Gerade Verbindung 64"/>
        <xdr:cNvCxnSpPr/>
      </xdr:nvCxnSpPr>
      <xdr:spPr>
        <a:xfrm>
          <a:off x="2320636" y="2654011"/>
          <a:ext cx="0" cy="15629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330683</xdr:colOff>
      <xdr:row>12</xdr:row>
      <xdr:rowOff>5413</xdr:rowOff>
    </xdr:from>
    <xdr:to>
      <xdr:col>12</xdr:col>
      <xdr:colOff>54459</xdr:colOff>
      <xdr:row>13</xdr:row>
      <xdr:rowOff>129240</xdr:rowOff>
    </xdr:to>
    <xdr:cxnSp macro="">
      <xdr:nvCxnSpPr>
        <xdr:cNvPr id="66" name="Gerade Verbindung 65"/>
        <xdr:cNvCxnSpPr/>
      </xdr:nvCxnSpPr>
      <xdr:spPr>
        <a:xfrm flipH="1" flipV="1">
          <a:off x="4140683" y="2291413"/>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36479</xdr:colOff>
      <xdr:row>13</xdr:row>
      <xdr:rowOff>174287</xdr:rowOff>
    </xdr:from>
    <xdr:to>
      <xdr:col>9</xdr:col>
      <xdr:colOff>571500</xdr:colOff>
      <xdr:row>13</xdr:row>
      <xdr:rowOff>174288</xdr:rowOff>
    </xdr:to>
    <xdr:cxnSp macro="">
      <xdr:nvCxnSpPr>
        <xdr:cNvPr id="67" name="Gerade Verbindung 66"/>
        <xdr:cNvCxnSpPr/>
      </xdr:nvCxnSpPr>
      <xdr:spPr>
        <a:xfrm flipV="1">
          <a:off x="2322479" y="265078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34858</xdr:colOff>
      <xdr:row>22</xdr:row>
      <xdr:rowOff>26751</xdr:rowOff>
    </xdr:from>
    <xdr:to>
      <xdr:col>9</xdr:col>
      <xdr:colOff>569879</xdr:colOff>
      <xdr:row>22</xdr:row>
      <xdr:rowOff>26752</xdr:rowOff>
    </xdr:to>
    <xdr:cxnSp macro="">
      <xdr:nvCxnSpPr>
        <xdr:cNvPr id="68" name="Gerade Verbindung 67"/>
        <xdr:cNvCxnSpPr/>
      </xdr:nvCxnSpPr>
      <xdr:spPr>
        <a:xfrm flipV="1">
          <a:off x="2320858" y="4217751"/>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489546</xdr:colOff>
      <xdr:row>13</xdr:row>
      <xdr:rowOff>176475</xdr:rowOff>
    </xdr:from>
    <xdr:to>
      <xdr:col>10</xdr:col>
      <xdr:colOff>262567</xdr:colOff>
      <xdr:row>13</xdr:row>
      <xdr:rowOff>176476</xdr:rowOff>
    </xdr:to>
    <xdr:cxnSp macro="">
      <xdr:nvCxnSpPr>
        <xdr:cNvPr id="69" name="Gerade Verbindung 68"/>
        <xdr:cNvCxnSpPr/>
      </xdr:nvCxnSpPr>
      <xdr:spPr>
        <a:xfrm flipV="1">
          <a:off x="2775546" y="265297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475034</xdr:colOff>
      <xdr:row>22</xdr:row>
      <xdr:rowOff>25372</xdr:rowOff>
    </xdr:from>
    <xdr:to>
      <xdr:col>10</xdr:col>
      <xdr:colOff>248055</xdr:colOff>
      <xdr:row>22</xdr:row>
      <xdr:rowOff>25373</xdr:rowOff>
    </xdr:to>
    <xdr:cxnSp macro="">
      <xdr:nvCxnSpPr>
        <xdr:cNvPr id="70" name="Gerade Verbindung 69"/>
        <xdr:cNvCxnSpPr/>
      </xdr:nvCxnSpPr>
      <xdr:spPr>
        <a:xfrm flipV="1">
          <a:off x="2761034" y="4216372"/>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274322</xdr:colOff>
      <xdr:row>12</xdr:row>
      <xdr:rowOff>7620</xdr:rowOff>
    </xdr:from>
    <xdr:to>
      <xdr:col>11</xdr:col>
      <xdr:colOff>346710</xdr:colOff>
      <xdr:row>12</xdr:row>
      <xdr:rowOff>7620</xdr:rowOff>
    </xdr:to>
    <xdr:cxnSp macro="">
      <xdr:nvCxnSpPr>
        <xdr:cNvPr id="71" name="Gerade Verbindung 70"/>
        <xdr:cNvCxnSpPr/>
      </xdr:nvCxnSpPr>
      <xdr:spPr>
        <a:xfrm flipH="1">
          <a:off x="1798322" y="2293620"/>
          <a:ext cx="23583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471236</xdr:colOff>
      <xdr:row>15</xdr:row>
      <xdr:rowOff>176061</xdr:rowOff>
    </xdr:from>
    <xdr:to>
      <xdr:col>8</xdr:col>
      <xdr:colOff>757488</xdr:colOff>
      <xdr:row>17</xdr:row>
      <xdr:rowOff>3612</xdr:rowOff>
    </xdr:to>
    <xdr:cxnSp macro="">
      <xdr:nvCxnSpPr>
        <xdr:cNvPr id="72" name="Gerade Verbindung 71"/>
        <xdr:cNvCxnSpPr/>
      </xdr:nvCxnSpPr>
      <xdr:spPr>
        <a:xfrm flipH="1" flipV="1">
          <a:off x="6567236" y="303356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17</xdr:row>
      <xdr:rowOff>7620</xdr:rowOff>
    </xdr:from>
    <xdr:to>
      <xdr:col>9</xdr:col>
      <xdr:colOff>85210</xdr:colOff>
      <xdr:row>22</xdr:row>
      <xdr:rowOff>28464</xdr:rowOff>
    </xdr:to>
    <xdr:cxnSp macro="">
      <xdr:nvCxnSpPr>
        <xdr:cNvPr id="73" name="Gerade Verbindung mit Pfeil 72"/>
        <xdr:cNvCxnSpPr/>
      </xdr:nvCxnSpPr>
      <xdr:spPr>
        <a:xfrm flipH="1" flipV="1">
          <a:off x="6934200" y="3246120"/>
          <a:ext cx="9010" cy="973344"/>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866775</xdr:colOff>
      <xdr:row>13</xdr:row>
      <xdr:rowOff>133350</xdr:rowOff>
    </xdr:from>
    <xdr:to>
      <xdr:col>17</xdr:col>
      <xdr:colOff>57150</xdr:colOff>
      <xdr:row>22</xdr:row>
      <xdr:rowOff>66675</xdr:rowOff>
    </xdr:to>
    <xdr:sp macro="" textlink="">
      <xdr:nvSpPr>
        <xdr:cNvPr id="75" name="Rechteck 74"/>
        <xdr:cNvSpPr/>
      </xdr:nvSpPr>
      <xdr:spPr>
        <a:xfrm>
          <a:off x="6858000" y="2609850"/>
          <a:ext cx="2343150" cy="1647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13</xdr:col>
      <xdr:colOff>276225</xdr:colOff>
      <xdr:row>12</xdr:row>
      <xdr:rowOff>9525</xdr:rowOff>
    </xdr:from>
    <xdr:to>
      <xdr:col>13</xdr:col>
      <xdr:colOff>876301</xdr:colOff>
      <xdr:row>13</xdr:row>
      <xdr:rowOff>133352</xdr:rowOff>
    </xdr:to>
    <xdr:cxnSp macro="">
      <xdr:nvCxnSpPr>
        <xdr:cNvPr id="76" name="Gerade Verbindung 75"/>
        <xdr:cNvCxnSpPr/>
      </xdr:nvCxnSpPr>
      <xdr:spPr>
        <a:xfrm flipH="1" flipV="1">
          <a:off x="6372225" y="2295525"/>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266700</xdr:colOff>
      <xdr:row>20</xdr:row>
      <xdr:rowOff>133350</xdr:rowOff>
    </xdr:from>
    <xdr:to>
      <xdr:col>13</xdr:col>
      <xdr:colOff>866776</xdr:colOff>
      <xdr:row>22</xdr:row>
      <xdr:rowOff>66677</xdr:rowOff>
    </xdr:to>
    <xdr:cxnSp macro="">
      <xdr:nvCxnSpPr>
        <xdr:cNvPr id="77" name="Gerade Verbindung 76"/>
        <xdr:cNvCxnSpPr/>
      </xdr:nvCxnSpPr>
      <xdr:spPr>
        <a:xfrm flipH="1" flipV="1">
          <a:off x="6362700" y="3943350"/>
          <a:ext cx="495301"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265339</xdr:colOff>
      <xdr:row>12</xdr:row>
      <xdr:rowOff>9526</xdr:rowOff>
    </xdr:from>
    <xdr:to>
      <xdr:col>13</xdr:col>
      <xdr:colOff>276906</xdr:colOff>
      <xdr:row>20</xdr:row>
      <xdr:rowOff>136071</xdr:rowOff>
    </xdr:to>
    <xdr:cxnSp macro="">
      <xdr:nvCxnSpPr>
        <xdr:cNvPr id="78" name="Gerade Verbindung 77"/>
        <xdr:cNvCxnSpPr/>
      </xdr:nvCxnSpPr>
      <xdr:spPr>
        <a:xfrm flipV="1">
          <a:off x="6361339" y="2295526"/>
          <a:ext cx="11567" cy="16505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471236</xdr:colOff>
      <xdr:row>20</xdr:row>
      <xdr:rowOff>35091</xdr:rowOff>
    </xdr:from>
    <xdr:to>
      <xdr:col>13</xdr:col>
      <xdr:colOff>862263</xdr:colOff>
      <xdr:row>21</xdr:row>
      <xdr:rowOff>53142</xdr:rowOff>
    </xdr:to>
    <xdr:cxnSp macro="">
      <xdr:nvCxnSpPr>
        <xdr:cNvPr id="79" name="Gerade Verbindung 78"/>
        <xdr:cNvCxnSpPr/>
      </xdr:nvCxnSpPr>
      <xdr:spPr>
        <a:xfrm flipH="1" flipV="1">
          <a:off x="6567236" y="384509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866775</xdr:colOff>
      <xdr:row>13</xdr:row>
      <xdr:rowOff>133350</xdr:rowOff>
    </xdr:from>
    <xdr:to>
      <xdr:col>17</xdr:col>
      <xdr:colOff>57150</xdr:colOff>
      <xdr:row>22</xdr:row>
      <xdr:rowOff>66675</xdr:rowOff>
    </xdr:to>
    <xdr:sp macro="" textlink="">
      <xdr:nvSpPr>
        <xdr:cNvPr id="80" name="Rechteck 79"/>
        <xdr:cNvSpPr/>
      </xdr:nvSpPr>
      <xdr:spPr>
        <a:xfrm>
          <a:off x="6858000" y="2609850"/>
          <a:ext cx="2343150" cy="1647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13</xdr:col>
      <xdr:colOff>276225</xdr:colOff>
      <xdr:row>12</xdr:row>
      <xdr:rowOff>9525</xdr:rowOff>
    </xdr:from>
    <xdr:to>
      <xdr:col>13</xdr:col>
      <xdr:colOff>876301</xdr:colOff>
      <xdr:row>13</xdr:row>
      <xdr:rowOff>133352</xdr:rowOff>
    </xdr:to>
    <xdr:cxnSp macro="">
      <xdr:nvCxnSpPr>
        <xdr:cNvPr id="81" name="Gerade Verbindung 80"/>
        <xdr:cNvCxnSpPr/>
      </xdr:nvCxnSpPr>
      <xdr:spPr>
        <a:xfrm flipH="1" flipV="1">
          <a:off x="6372225" y="2295525"/>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266700</xdr:colOff>
      <xdr:row>20</xdr:row>
      <xdr:rowOff>133350</xdr:rowOff>
    </xdr:from>
    <xdr:to>
      <xdr:col>13</xdr:col>
      <xdr:colOff>866776</xdr:colOff>
      <xdr:row>22</xdr:row>
      <xdr:rowOff>66677</xdr:rowOff>
    </xdr:to>
    <xdr:cxnSp macro="">
      <xdr:nvCxnSpPr>
        <xdr:cNvPr id="82" name="Gerade Verbindung 81"/>
        <xdr:cNvCxnSpPr/>
      </xdr:nvCxnSpPr>
      <xdr:spPr>
        <a:xfrm flipH="1" flipV="1">
          <a:off x="6362700" y="3943350"/>
          <a:ext cx="495301"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265339</xdr:colOff>
      <xdr:row>12</xdr:row>
      <xdr:rowOff>9526</xdr:rowOff>
    </xdr:from>
    <xdr:to>
      <xdr:col>13</xdr:col>
      <xdr:colOff>276906</xdr:colOff>
      <xdr:row>20</xdr:row>
      <xdr:rowOff>136071</xdr:rowOff>
    </xdr:to>
    <xdr:cxnSp macro="">
      <xdr:nvCxnSpPr>
        <xdr:cNvPr id="83" name="Gerade Verbindung 82"/>
        <xdr:cNvCxnSpPr/>
      </xdr:nvCxnSpPr>
      <xdr:spPr>
        <a:xfrm flipV="1">
          <a:off x="6361339" y="2295526"/>
          <a:ext cx="11567" cy="16505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471236</xdr:colOff>
      <xdr:row>20</xdr:row>
      <xdr:rowOff>35091</xdr:rowOff>
    </xdr:from>
    <xdr:to>
      <xdr:col>13</xdr:col>
      <xdr:colOff>862263</xdr:colOff>
      <xdr:row>21</xdr:row>
      <xdr:rowOff>53142</xdr:rowOff>
    </xdr:to>
    <xdr:cxnSp macro="">
      <xdr:nvCxnSpPr>
        <xdr:cNvPr id="84" name="Gerade Verbindung 83"/>
        <xdr:cNvCxnSpPr/>
      </xdr:nvCxnSpPr>
      <xdr:spPr>
        <a:xfrm flipH="1" flipV="1">
          <a:off x="6567236" y="384509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406976</xdr:colOff>
      <xdr:row>13</xdr:row>
      <xdr:rowOff>145915</xdr:rowOff>
    </xdr:from>
    <xdr:to>
      <xdr:col>17</xdr:col>
      <xdr:colOff>52819</xdr:colOff>
      <xdr:row>22</xdr:row>
      <xdr:rowOff>60891</xdr:rowOff>
    </xdr:to>
    <xdr:sp macro="" textlink="">
      <xdr:nvSpPr>
        <xdr:cNvPr id="85" name="Rechteck 84"/>
        <xdr:cNvSpPr/>
      </xdr:nvSpPr>
      <xdr:spPr>
        <a:xfrm>
          <a:off x="8026976" y="2622415"/>
          <a:ext cx="1169843" cy="1629476"/>
        </a:xfrm>
        <a:prstGeom prst="rect">
          <a:avLst/>
        </a:prstGeom>
        <a:gradFill flip="none" rotWithShape="1">
          <a:gsLst>
            <a:gs pos="0">
              <a:srgbClr val="008000"/>
            </a:gs>
            <a:gs pos="59000">
              <a:srgbClr val="009900"/>
            </a:gs>
            <a:gs pos="100000">
              <a:schemeClr val="bg1"/>
            </a:gs>
          </a:gsLst>
          <a:lin ang="1080000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14</xdr:col>
      <xdr:colOff>81064</xdr:colOff>
      <xdr:row>21</xdr:row>
      <xdr:rowOff>60798</xdr:rowOff>
    </xdr:from>
    <xdr:to>
      <xdr:col>14</xdr:col>
      <xdr:colOff>85209</xdr:colOff>
      <xdr:row>22</xdr:row>
      <xdr:rowOff>28464</xdr:rowOff>
    </xdr:to>
    <xdr:cxnSp macro="">
      <xdr:nvCxnSpPr>
        <xdr:cNvPr id="86" name="Gerade Verbindung mit Pfeil 85"/>
        <xdr:cNvCxnSpPr/>
      </xdr:nvCxnSpPr>
      <xdr:spPr>
        <a:xfrm flipH="1" flipV="1">
          <a:off x="6939064" y="4061298"/>
          <a:ext cx="4145" cy="158166"/>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106680</xdr:colOff>
      <xdr:row>19</xdr:row>
      <xdr:rowOff>125730</xdr:rowOff>
    </xdr:from>
    <xdr:to>
      <xdr:col>17</xdr:col>
      <xdr:colOff>108243</xdr:colOff>
      <xdr:row>22</xdr:row>
      <xdr:rowOff>77932</xdr:rowOff>
    </xdr:to>
    <xdr:cxnSp macro="">
      <xdr:nvCxnSpPr>
        <xdr:cNvPr id="87" name="Gerade Verbindung mit Pfeil 86"/>
        <xdr:cNvCxnSpPr/>
      </xdr:nvCxnSpPr>
      <xdr:spPr>
        <a:xfrm>
          <a:off x="13060680" y="3745230"/>
          <a:ext cx="1563" cy="523702"/>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34636</xdr:colOff>
      <xdr:row>13</xdr:row>
      <xdr:rowOff>177511</xdr:rowOff>
    </xdr:from>
    <xdr:to>
      <xdr:col>14</xdr:col>
      <xdr:colOff>34636</xdr:colOff>
      <xdr:row>22</xdr:row>
      <xdr:rowOff>25977</xdr:rowOff>
    </xdr:to>
    <xdr:cxnSp macro="">
      <xdr:nvCxnSpPr>
        <xdr:cNvPr id="88" name="Gerade Verbindung 87"/>
        <xdr:cNvCxnSpPr/>
      </xdr:nvCxnSpPr>
      <xdr:spPr>
        <a:xfrm>
          <a:off x="6892636" y="2654011"/>
          <a:ext cx="0" cy="15629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330683</xdr:colOff>
      <xdr:row>12</xdr:row>
      <xdr:rowOff>5413</xdr:rowOff>
    </xdr:from>
    <xdr:to>
      <xdr:col>17</xdr:col>
      <xdr:colOff>54459</xdr:colOff>
      <xdr:row>13</xdr:row>
      <xdr:rowOff>129240</xdr:rowOff>
    </xdr:to>
    <xdr:cxnSp macro="">
      <xdr:nvCxnSpPr>
        <xdr:cNvPr id="89" name="Gerade Verbindung 88"/>
        <xdr:cNvCxnSpPr/>
      </xdr:nvCxnSpPr>
      <xdr:spPr>
        <a:xfrm flipH="1" flipV="1">
          <a:off x="8712683" y="2291413"/>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36479</xdr:colOff>
      <xdr:row>13</xdr:row>
      <xdr:rowOff>174287</xdr:rowOff>
    </xdr:from>
    <xdr:to>
      <xdr:col>14</xdr:col>
      <xdr:colOff>571500</xdr:colOff>
      <xdr:row>13</xdr:row>
      <xdr:rowOff>174288</xdr:rowOff>
    </xdr:to>
    <xdr:cxnSp macro="">
      <xdr:nvCxnSpPr>
        <xdr:cNvPr id="90" name="Gerade Verbindung 89"/>
        <xdr:cNvCxnSpPr/>
      </xdr:nvCxnSpPr>
      <xdr:spPr>
        <a:xfrm flipV="1">
          <a:off x="6894479" y="265078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34858</xdr:colOff>
      <xdr:row>22</xdr:row>
      <xdr:rowOff>26751</xdr:rowOff>
    </xdr:from>
    <xdr:to>
      <xdr:col>14</xdr:col>
      <xdr:colOff>569879</xdr:colOff>
      <xdr:row>22</xdr:row>
      <xdr:rowOff>26752</xdr:rowOff>
    </xdr:to>
    <xdr:cxnSp macro="">
      <xdr:nvCxnSpPr>
        <xdr:cNvPr id="91" name="Gerade Verbindung 90"/>
        <xdr:cNvCxnSpPr/>
      </xdr:nvCxnSpPr>
      <xdr:spPr>
        <a:xfrm flipV="1">
          <a:off x="6892858" y="4217751"/>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489546</xdr:colOff>
      <xdr:row>13</xdr:row>
      <xdr:rowOff>176475</xdr:rowOff>
    </xdr:from>
    <xdr:to>
      <xdr:col>15</xdr:col>
      <xdr:colOff>262567</xdr:colOff>
      <xdr:row>13</xdr:row>
      <xdr:rowOff>176476</xdr:rowOff>
    </xdr:to>
    <xdr:cxnSp macro="">
      <xdr:nvCxnSpPr>
        <xdr:cNvPr id="92" name="Gerade Verbindung 91"/>
        <xdr:cNvCxnSpPr/>
      </xdr:nvCxnSpPr>
      <xdr:spPr>
        <a:xfrm flipV="1">
          <a:off x="7347546" y="265297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475034</xdr:colOff>
      <xdr:row>22</xdr:row>
      <xdr:rowOff>25372</xdr:rowOff>
    </xdr:from>
    <xdr:to>
      <xdr:col>15</xdr:col>
      <xdr:colOff>248055</xdr:colOff>
      <xdr:row>22</xdr:row>
      <xdr:rowOff>25373</xdr:rowOff>
    </xdr:to>
    <xdr:cxnSp macro="">
      <xdr:nvCxnSpPr>
        <xdr:cNvPr id="93" name="Gerade Verbindung 92"/>
        <xdr:cNvCxnSpPr/>
      </xdr:nvCxnSpPr>
      <xdr:spPr>
        <a:xfrm flipV="1">
          <a:off x="7333034" y="4216372"/>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274322</xdr:colOff>
      <xdr:row>12</xdr:row>
      <xdr:rowOff>7620</xdr:rowOff>
    </xdr:from>
    <xdr:to>
      <xdr:col>16</xdr:col>
      <xdr:colOff>346710</xdr:colOff>
      <xdr:row>12</xdr:row>
      <xdr:rowOff>7620</xdr:rowOff>
    </xdr:to>
    <xdr:cxnSp macro="">
      <xdr:nvCxnSpPr>
        <xdr:cNvPr id="94" name="Gerade Verbindung 93"/>
        <xdr:cNvCxnSpPr/>
      </xdr:nvCxnSpPr>
      <xdr:spPr>
        <a:xfrm flipH="1">
          <a:off x="6370322" y="2293620"/>
          <a:ext cx="23583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471236</xdr:colOff>
      <xdr:row>17</xdr:row>
      <xdr:rowOff>107481</xdr:rowOff>
    </xdr:from>
    <xdr:to>
      <xdr:col>13</xdr:col>
      <xdr:colOff>757488</xdr:colOff>
      <xdr:row>18</xdr:row>
      <xdr:rowOff>125532</xdr:rowOff>
    </xdr:to>
    <xdr:cxnSp macro="">
      <xdr:nvCxnSpPr>
        <xdr:cNvPr id="95" name="Gerade Verbindung 94"/>
        <xdr:cNvCxnSpPr/>
      </xdr:nvCxnSpPr>
      <xdr:spPr>
        <a:xfrm flipH="1" flipV="1">
          <a:off x="10377236" y="334598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80010</xdr:colOff>
      <xdr:row>18</xdr:row>
      <xdr:rowOff>144780</xdr:rowOff>
    </xdr:from>
    <xdr:to>
      <xdr:col>14</xdr:col>
      <xdr:colOff>85210</xdr:colOff>
      <xdr:row>22</xdr:row>
      <xdr:rowOff>28464</xdr:rowOff>
    </xdr:to>
    <xdr:cxnSp macro="">
      <xdr:nvCxnSpPr>
        <xdr:cNvPr id="96" name="Gerade Verbindung mit Pfeil 95"/>
        <xdr:cNvCxnSpPr/>
      </xdr:nvCxnSpPr>
      <xdr:spPr>
        <a:xfrm flipH="1" flipV="1">
          <a:off x="10748010" y="3573780"/>
          <a:ext cx="5200" cy="645684"/>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284129</xdr:colOff>
      <xdr:row>18</xdr:row>
      <xdr:rowOff>33317</xdr:rowOff>
    </xdr:from>
    <xdr:to>
      <xdr:col>12</xdr:col>
      <xdr:colOff>57150</xdr:colOff>
      <xdr:row>18</xdr:row>
      <xdr:rowOff>33318</xdr:rowOff>
    </xdr:to>
    <xdr:cxnSp macro="">
      <xdr:nvCxnSpPr>
        <xdr:cNvPr id="97" name="Gerade Verbindung 96"/>
        <xdr:cNvCxnSpPr/>
      </xdr:nvCxnSpPr>
      <xdr:spPr>
        <a:xfrm flipV="1">
          <a:off x="8666129" y="346231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535266</xdr:colOff>
      <xdr:row>18</xdr:row>
      <xdr:rowOff>35505</xdr:rowOff>
    </xdr:from>
    <xdr:to>
      <xdr:col>11</xdr:col>
      <xdr:colOff>308287</xdr:colOff>
      <xdr:row>18</xdr:row>
      <xdr:rowOff>35506</xdr:rowOff>
    </xdr:to>
    <xdr:cxnSp macro="">
      <xdr:nvCxnSpPr>
        <xdr:cNvPr id="98" name="Gerade Verbindung 97"/>
        <xdr:cNvCxnSpPr/>
      </xdr:nvCxnSpPr>
      <xdr:spPr>
        <a:xfrm flipV="1">
          <a:off x="8155266" y="346450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102870</xdr:colOff>
      <xdr:row>13</xdr:row>
      <xdr:rowOff>133350</xdr:rowOff>
    </xdr:from>
    <xdr:to>
      <xdr:col>12</xdr:col>
      <xdr:colOff>108244</xdr:colOff>
      <xdr:row>18</xdr:row>
      <xdr:rowOff>43642</xdr:rowOff>
    </xdr:to>
    <xdr:cxnSp macro="">
      <xdr:nvCxnSpPr>
        <xdr:cNvPr id="101" name="Gerade Verbindung mit Pfeil 100"/>
        <xdr:cNvCxnSpPr/>
      </xdr:nvCxnSpPr>
      <xdr:spPr>
        <a:xfrm>
          <a:off x="9246870" y="2609850"/>
          <a:ext cx="5374" cy="862792"/>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280319</xdr:colOff>
      <xdr:row>19</xdr:row>
      <xdr:rowOff>128567</xdr:rowOff>
    </xdr:from>
    <xdr:to>
      <xdr:col>17</xdr:col>
      <xdr:colOff>53340</xdr:colOff>
      <xdr:row>19</xdr:row>
      <xdr:rowOff>128568</xdr:rowOff>
    </xdr:to>
    <xdr:cxnSp macro="">
      <xdr:nvCxnSpPr>
        <xdr:cNvPr id="103" name="Gerade Verbindung 102"/>
        <xdr:cNvCxnSpPr/>
      </xdr:nvCxnSpPr>
      <xdr:spPr>
        <a:xfrm flipV="1">
          <a:off x="12472319" y="374806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531456</xdr:colOff>
      <xdr:row>19</xdr:row>
      <xdr:rowOff>130755</xdr:rowOff>
    </xdr:from>
    <xdr:to>
      <xdr:col>16</xdr:col>
      <xdr:colOff>304477</xdr:colOff>
      <xdr:row>19</xdr:row>
      <xdr:rowOff>130756</xdr:rowOff>
    </xdr:to>
    <xdr:cxnSp macro="">
      <xdr:nvCxnSpPr>
        <xdr:cNvPr id="104" name="Gerade Verbindung 103"/>
        <xdr:cNvCxnSpPr/>
      </xdr:nvCxnSpPr>
      <xdr:spPr>
        <a:xfrm flipV="1">
          <a:off x="11961456" y="375025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284129</xdr:colOff>
      <xdr:row>16</xdr:row>
      <xdr:rowOff>147617</xdr:rowOff>
    </xdr:from>
    <xdr:to>
      <xdr:col>17</xdr:col>
      <xdr:colOff>57150</xdr:colOff>
      <xdr:row>16</xdr:row>
      <xdr:rowOff>147618</xdr:rowOff>
    </xdr:to>
    <xdr:cxnSp macro="">
      <xdr:nvCxnSpPr>
        <xdr:cNvPr id="105" name="Gerade Verbindung 104"/>
        <xdr:cNvCxnSpPr/>
      </xdr:nvCxnSpPr>
      <xdr:spPr>
        <a:xfrm flipV="1">
          <a:off x="12476129" y="319561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535266</xdr:colOff>
      <xdr:row>16</xdr:row>
      <xdr:rowOff>149805</xdr:rowOff>
    </xdr:from>
    <xdr:to>
      <xdr:col>16</xdr:col>
      <xdr:colOff>308287</xdr:colOff>
      <xdr:row>16</xdr:row>
      <xdr:rowOff>149806</xdr:rowOff>
    </xdr:to>
    <xdr:cxnSp macro="">
      <xdr:nvCxnSpPr>
        <xdr:cNvPr id="106" name="Gerade Verbindung 105"/>
        <xdr:cNvCxnSpPr/>
      </xdr:nvCxnSpPr>
      <xdr:spPr>
        <a:xfrm flipV="1">
          <a:off x="11965266" y="319780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475046</xdr:colOff>
      <xdr:row>14</xdr:row>
      <xdr:rowOff>141771</xdr:rowOff>
    </xdr:from>
    <xdr:to>
      <xdr:col>13</xdr:col>
      <xdr:colOff>761298</xdr:colOff>
      <xdr:row>15</xdr:row>
      <xdr:rowOff>159822</xdr:rowOff>
    </xdr:to>
    <xdr:cxnSp macro="">
      <xdr:nvCxnSpPr>
        <xdr:cNvPr id="107" name="Gerade Verbindung 106"/>
        <xdr:cNvCxnSpPr/>
      </xdr:nvCxnSpPr>
      <xdr:spPr>
        <a:xfrm flipH="1" flipV="1">
          <a:off x="10381046" y="280877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16</xdr:row>
      <xdr:rowOff>3810</xdr:rowOff>
    </xdr:from>
    <xdr:to>
      <xdr:col>14</xdr:col>
      <xdr:colOff>81400</xdr:colOff>
      <xdr:row>19</xdr:row>
      <xdr:rowOff>77994</xdr:rowOff>
    </xdr:to>
    <xdr:cxnSp macro="">
      <xdr:nvCxnSpPr>
        <xdr:cNvPr id="109" name="Gerade Verbindung mit Pfeil 108"/>
        <xdr:cNvCxnSpPr/>
      </xdr:nvCxnSpPr>
      <xdr:spPr>
        <a:xfrm flipH="1" flipV="1">
          <a:off x="10744200" y="3051810"/>
          <a:ext cx="5200" cy="645684"/>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102870</xdr:colOff>
      <xdr:row>16</xdr:row>
      <xdr:rowOff>148590</xdr:rowOff>
    </xdr:from>
    <xdr:to>
      <xdr:col>17</xdr:col>
      <xdr:colOff>104433</xdr:colOff>
      <xdr:row>19</xdr:row>
      <xdr:rowOff>135082</xdr:rowOff>
    </xdr:to>
    <xdr:cxnSp macro="">
      <xdr:nvCxnSpPr>
        <xdr:cNvPr id="111" name="Gerade Verbindung mit Pfeil 110"/>
        <xdr:cNvCxnSpPr/>
      </xdr:nvCxnSpPr>
      <xdr:spPr>
        <a:xfrm>
          <a:off x="13056870" y="3196590"/>
          <a:ext cx="1563" cy="557992"/>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99060</xdr:colOff>
      <xdr:row>13</xdr:row>
      <xdr:rowOff>140970</xdr:rowOff>
    </xdr:from>
    <xdr:to>
      <xdr:col>17</xdr:col>
      <xdr:colOff>100623</xdr:colOff>
      <xdr:row>16</xdr:row>
      <xdr:rowOff>154132</xdr:rowOff>
    </xdr:to>
    <xdr:cxnSp macro="">
      <xdr:nvCxnSpPr>
        <xdr:cNvPr id="113" name="Gerade Verbindung mit Pfeil 112"/>
        <xdr:cNvCxnSpPr/>
      </xdr:nvCxnSpPr>
      <xdr:spPr>
        <a:xfrm>
          <a:off x="13053060" y="2617470"/>
          <a:ext cx="1563" cy="584662"/>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866775</xdr:colOff>
      <xdr:row>13</xdr:row>
      <xdr:rowOff>133350</xdr:rowOff>
    </xdr:from>
    <xdr:to>
      <xdr:col>22</xdr:col>
      <xdr:colOff>57150</xdr:colOff>
      <xdr:row>22</xdr:row>
      <xdr:rowOff>66675</xdr:rowOff>
    </xdr:to>
    <xdr:sp macro="" textlink="">
      <xdr:nvSpPr>
        <xdr:cNvPr id="115" name="Rechteck 114"/>
        <xdr:cNvSpPr/>
      </xdr:nvSpPr>
      <xdr:spPr>
        <a:xfrm>
          <a:off x="10668000" y="2609850"/>
          <a:ext cx="2343150" cy="1647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18</xdr:col>
      <xdr:colOff>276225</xdr:colOff>
      <xdr:row>12</xdr:row>
      <xdr:rowOff>9525</xdr:rowOff>
    </xdr:from>
    <xdr:to>
      <xdr:col>18</xdr:col>
      <xdr:colOff>876301</xdr:colOff>
      <xdr:row>13</xdr:row>
      <xdr:rowOff>133352</xdr:rowOff>
    </xdr:to>
    <xdr:cxnSp macro="">
      <xdr:nvCxnSpPr>
        <xdr:cNvPr id="116" name="Gerade Verbindung 115"/>
        <xdr:cNvCxnSpPr/>
      </xdr:nvCxnSpPr>
      <xdr:spPr>
        <a:xfrm flipH="1" flipV="1">
          <a:off x="10182225" y="2295525"/>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266700</xdr:colOff>
      <xdr:row>20</xdr:row>
      <xdr:rowOff>133350</xdr:rowOff>
    </xdr:from>
    <xdr:to>
      <xdr:col>18</xdr:col>
      <xdr:colOff>866776</xdr:colOff>
      <xdr:row>22</xdr:row>
      <xdr:rowOff>66677</xdr:rowOff>
    </xdr:to>
    <xdr:cxnSp macro="">
      <xdr:nvCxnSpPr>
        <xdr:cNvPr id="117" name="Gerade Verbindung 116"/>
        <xdr:cNvCxnSpPr/>
      </xdr:nvCxnSpPr>
      <xdr:spPr>
        <a:xfrm flipH="1" flipV="1">
          <a:off x="10172700" y="3943350"/>
          <a:ext cx="495301"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265339</xdr:colOff>
      <xdr:row>12</xdr:row>
      <xdr:rowOff>9526</xdr:rowOff>
    </xdr:from>
    <xdr:to>
      <xdr:col>18</xdr:col>
      <xdr:colOff>276906</xdr:colOff>
      <xdr:row>20</xdr:row>
      <xdr:rowOff>136071</xdr:rowOff>
    </xdr:to>
    <xdr:cxnSp macro="">
      <xdr:nvCxnSpPr>
        <xdr:cNvPr id="118" name="Gerade Verbindung 117"/>
        <xdr:cNvCxnSpPr/>
      </xdr:nvCxnSpPr>
      <xdr:spPr>
        <a:xfrm flipV="1">
          <a:off x="10171339" y="2295526"/>
          <a:ext cx="11567" cy="16505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471236</xdr:colOff>
      <xdr:row>20</xdr:row>
      <xdr:rowOff>35091</xdr:rowOff>
    </xdr:from>
    <xdr:to>
      <xdr:col>18</xdr:col>
      <xdr:colOff>862263</xdr:colOff>
      <xdr:row>21</xdr:row>
      <xdr:rowOff>53142</xdr:rowOff>
    </xdr:to>
    <xdr:cxnSp macro="">
      <xdr:nvCxnSpPr>
        <xdr:cNvPr id="119" name="Gerade Verbindung 118"/>
        <xdr:cNvCxnSpPr/>
      </xdr:nvCxnSpPr>
      <xdr:spPr>
        <a:xfrm flipH="1" flipV="1">
          <a:off x="10377236" y="384509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866775</xdr:colOff>
      <xdr:row>13</xdr:row>
      <xdr:rowOff>133350</xdr:rowOff>
    </xdr:from>
    <xdr:to>
      <xdr:col>22</xdr:col>
      <xdr:colOff>57150</xdr:colOff>
      <xdr:row>22</xdr:row>
      <xdr:rowOff>66675</xdr:rowOff>
    </xdr:to>
    <xdr:sp macro="" textlink="">
      <xdr:nvSpPr>
        <xdr:cNvPr id="120" name="Rechteck 119"/>
        <xdr:cNvSpPr/>
      </xdr:nvSpPr>
      <xdr:spPr>
        <a:xfrm>
          <a:off x="10668000" y="2609850"/>
          <a:ext cx="2343150" cy="1647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18</xdr:col>
      <xdr:colOff>276225</xdr:colOff>
      <xdr:row>12</xdr:row>
      <xdr:rowOff>9525</xdr:rowOff>
    </xdr:from>
    <xdr:to>
      <xdr:col>18</xdr:col>
      <xdr:colOff>876301</xdr:colOff>
      <xdr:row>13</xdr:row>
      <xdr:rowOff>133352</xdr:rowOff>
    </xdr:to>
    <xdr:cxnSp macro="">
      <xdr:nvCxnSpPr>
        <xdr:cNvPr id="121" name="Gerade Verbindung 120"/>
        <xdr:cNvCxnSpPr/>
      </xdr:nvCxnSpPr>
      <xdr:spPr>
        <a:xfrm flipH="1" flipV="1">
          <a:off x="10182225" y="2295525"/>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266700</xdr:colOff>
      <xdr:row>20</xdr:row>
      <xdr:rowOff>133350</xdr:rowOff>
    </xdr:from>
    <xdr:to>
      <xdr:col>18</xdr:col>
      <xdr:colOff>866776</xdr:colOff>
      <xdr:row>22</xdr:row>
      <xdr:rowOff>66677</xdr:rowOff>
    </xdr:to>
    <xdr:cxnSp macro="">
      <xdr:nvCxnSpPr>
        <xdr:cNvPr id="122" name="Gerade Verbindung 121"/>
        <xdr:cNvCxnSpPr/>
      </xdr:nvCxnSpPr>
      <xdr:spPr>
        <a:xfrm flipH="1" flipV="1">
          <a:off x="10172700" y="3943350"/>
          <a:ext cx="495301"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265339</xdr:colOff>
      <xdr:row>12</xdr:row>
      <xdr:rowOff>9526</xdr:rowOff>
    </xdr:from>
    <xdr:to>
      <xdr:col>18</xdr:col>
      <xdr:colOff>276906</xdr:colOff>
      <xdr:row>20</xdr:row>
      <xdr:rowOff>136071</xdr:rowOff>
    </xdr:to>
    <xdr:cxnSp macro="">
      <xdr:nvCxnSpPr>
        <xdr:cNvPr id="123" name="Gerade Verbindung 122"/>
        <xdr:cNvCxnSpPr/>
      </xdr:nvCxnSpPr>
      <xdr:spPr>
        <a:xfrm flipV="1">
          <a:off x="10171339" y="2295526"/>
          <a:ext cx="11567" cy="165054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471236</xdr:colOff>
      <xdr:row>20</xdr:row>
      <xdr:rowOff>35091</xdr:rowOff>
    </xdr:from>
    <xdr:to>
      <xdr:col>18</xdr:col>
      <xdr:colOff>862263</xdr:colOff>
      <xdr:row>21</xdr:row>
      <xdr:rowOff>53142</xdr:rowOff>
    </xdr:to>
    <xdr:cxnSp macro="">
      <xdr:nvCxnSpPr>
        <xdr:cNvPr id="124" name="Gerade Verbindung 123"/>
        <xdr:cNvCxnSpPr/>
      </xdr:nvCxnSpPr>
      <xdr:spPr>
        <a:xfrm flipH="1" flipV="1">
          <a:off x="10377236" y="384509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406976</xdr:colOff>
      <xdr:row>13</xdr:row>
      <xdr:rowOff>145915</xdr:rowOff>
    </xdr:from>
    <xdr:to>
      <xdr:col>22</xdr:col>
      <xdr:colOff>52819</xdr:colOff>
      <xdr:row>22</xdr:row>
      <xdr:rowOff>60891</xdr:rowOff>
    </xdr:to>
    <xdr:sp macro="" textlink="">
      <xdr:nvSpPr>
        <xdr:cNvPr id="125" name="Rechteck 124"/>
        <xdr:cNvSpPr/>
      </xdr:nvSpPr>
      <xdr:spPr>
        <a:xfrm>
          <a:off x="11836976" y="2622415"/>
          <a:ext cx="1169843" cy="1629476"/>
        </a:xfrm>
        <a:prstGeom prst="rect">
          <a:avLst/>
        </a:prstGeom>
        <a:gradFill flip="none" rotWithShape="1">
          <a:gsLst>
            <a:gs pos="0">
              <a:srgbClr val="008000"/>
            </a:gs>
            <a:gs pos="59000">
              <a:srgbClr val="009900"/>
            </a:gs>
            <a:gs pos="100000">
              <a:schemeClr val="bg1"/>
            </a:gs>
          </a:gsLst>
          <a:lin ang="1080000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19</xdr:col>
      <xdr:colOff>81064</xdr:colOff>
      <xdr:row>21</xdr:row>
      <xdr:rowOff>60798</xdr:rowOff>
    </xdr:from>
    <xdr:to>
      <xdr:col>19</xdr:col>
      <xdr:colOff>85209</xdr:colOff>
      <xdr:row>22</xdr:row>
      <xdr:rowOff>28464</xdr:rowOff>
    </xdr:to>
    <xdr:cxnSp macro="">
      <xdr:nvCxnSpPr>
        <xdr:cNvPr id="126" name="Gerade Verbindung mit Pfeil 125"/>
        <xdr:cNvCxnSpPr/>
      </xdr:nvCxnSpPr>
      <xdr:spPr>
        <a:xfrm flipH="1" flipV="1">
          <a:off x="10749064" y="4061298"/>
          <a:ext cx="4145" cy="158166"/>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34636</xdr:colOff>
      <xdr:row>13</xdr:row>
      <xdr:rowOff>177511</xdr:rowOff>
    </xdr:from>
    <xdr:to>
      <xdr:col>19</xdr:col>
      <xdr:colOff>34636</xdr:colOff>
      <xdr:row>22</xdr:row>
      <xdr:rowOff>25977</xdr:rowOff>
    </xdr:to>
    <xdr:cxnSp macro="">
      <xdr:nvCxnSpPr>
        <xdr:cNvPr id="128" name="Gerade Verbindung 127"/>
        <xdr:cNvCxnSpPr/>
      </xdr:nvCxnSpPr>
      <xdr:spPr>
        <a:xfrm>
          <a:off x="10702636" y="2654011"/>
          <a:ext cx="0" cy="15629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330683</xdr:colOff>
      <xdr:row>12</xdr:row>
      <xdr:rowOff>5413</xdr:rowOff>
    </xdr:from>
    <xdr:to>
      <xdr:col>22</xdr:col>
      <xdr:colOff>54459</xdr:colOff>
      <xdr:row>13</xdr:row>
      <xdr:rowOff>129240</xdr:rowOff>
    </xdr:to>
    <xdr:cxnSp macro="">
      <xdr:nvCxnSpPr>
        <xdr:cNvPr id="129" name="Gerade Verbindung 128"/>
        <xdr:cNvCxnSpPr/>
      </xdr:nvCxnSpPr>
      <xdr:spPr>
        <a:xfrm flipH="1" flipV="1">
          <a:off x="12522683" y="2291413"/>
          <a:ext cx="485776" cy="3143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36479</xdr:colOff>
      <xdr:row>13</xdr:row>
      <xdr:rowOff>174287</xdr:rowOff>
    </xdr:from>
    <xdr:to>
      <xdr:col>19</xdr:col>
      <xdr:colOff>571500</xdr:colOff>
      <xdr:row>13</xdr:row>
      <xdr:rowOff>174288</xdr:rowOff>
    </xdr:to>
    <xdr:cxnSp macro="">
      <xdr:nvCxnSpPr>
        <xdr:cNvPr id="130" name="Gerade Verbindung 129"/>
        <xdr:cNvCxnSpPr/>
      </xdr:nvCxnSpPr>
      <xdr:spPr>
        <a:xfrm flipV="1">
          <a:off x="10704479" y="265078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34858</xdr:colOff>
      <xdr:row>22</xdr:row>
      <xdr:rowOff>26751</xdr:rowOff>
    </xdr:from>
    <xdr:to>
      <xdr:col>19</xdr:col>
      <xdr:colOff>569879</xdr:colOff>
      <xdr:row>22</xdr:row>
      <xdr:rowOff>26752</xdr:rowOff>
    </xdr:to>
    <xdr:cxnSp macro="">
      <xdr:nvCxnSpPr>
        <xdr:cNvPr id="131" name="Gerade Verbindung 130"/>
        <xdr:cNvCxnSpPr/>
      </xdr:nvCxnSpPr>
      <xdr:spPr>
        <a:xfrm flipV="1">
          <a:off x="10702858" y="4217751"/>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489546</xdr:colOff>
      <xdr:row>13</xdr:row>
      <xdr:rowOff>176475</xdr:rowOff>
    </xdr:from>
    <xdr:to>
      <xdr:col>20</xdr:col>
      <xdr:colOff>262567</xdr:colOff>
      <xdr:row>13</xdr:row>
      <xdr:rowOff>176476</xdr:rowOff>
    </xdr:to>
    <xdr:cxnSp macro="">
      <xdr:nvCxnSpPr>
        <xdr:cNvPr id="132" name="Gerade Verbindung 131"/>
        <xdr:cNvCxnSpPr/>
      </xdr:nvCxnSpPr>
      <xdr:spPr>
        <a:xfrm flipV="1">
          <a:off x="11157546" y="265297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475034</xdr:colOff>
      <xdr:row>22</xdr:row>
      <xdr:rowOff>25372</xdr:rowOff>
    </xdr:from>
    <xdr:to>
      <xdr:col>20</xdr:col>
      <xdr:colOff>248055</xdr:colOff>
      <xdr:row>22</xdr:row>
      <xdr:rowOff>25373</xdr:rowOff>
    </xdr:to>
    <xdr:cxnSp macro="">
      <xdr:nvCxnSpPr>
        <xdr:cNvPr id="133" name="Gerade Verbindung 132"/>
        <xdr:cNvCxnSpPr/>
      </xdr:nvCxnSpPr>
      <xdr:spPr>
        <a:xfrm flipV="1">
          <a:off x="11143034" y="4216372"/>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274322</xdr:colOff>
      <xdr:row>12</xdr:row>
      <xdr:rowOff>7620</xdr:rowOff>
    </xdr:from>
    <xdr:to>
      <xdr:col>21</xdr:col>
      <xdr:colOff>346710</xdr:colOff>
      <xdr:row>12</xdr:row>
      <xdr:rowOff>7620</xdr:rowOff>
    </xdr:to>
    <xdr:cxnSp macro="">
      <xdr:nvCxnSpPr>
        <xdr:cNvPr id="134" name="Gerade Verbindung 133"/>
        <xdr:cNvCxnSpPr/>
      </xdr:nvCxnSpPr>
      <xdr:spPr>
        <a:xfrm flipH="1">
          <a:off x="10180322" y="2293620"/>
          <a:ext cx="23583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471236</xdr:colOff>
      <xdr:row>18</xdr:row>
      <xdr:rowOff>57951</xdr:rowOff>
    </xdr:from>
    <xdr:to>
      <xdr:col>18</xdr:col>
      <xdr:colOff>757488</xdr:colOff>
      <xdr:row>19</xdr:row>
      <xdr:rowOff>76002</xdr:rowOff>
    </xdr:to>
    <xdr:cxnSp macro="">
      <xdr:nvCxnSpPr>
        <xdr:cNvPr id="135" name="Gerade Verbindung 134"/>
        <xdr:cNvCxnSpPr/>
      </xdr:nvCxnSpPr>
      <xdr:spPr>
        <a:xfrm flipH="1" flipV="1">
          <a:off x="14187236" y="348695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80010</xdr:colOff>
      <xdr:row>19</xdr:row>
      <xdr:rowOff>95250</xdr:rowOff>
    </xdr:from>
    <xdr:to>
      <xdr:col>19</xdr:col>
      <xdr:colOff>85210</xdr:colOff>
      <xdr:row>22</xdr:row>
      <xdr:rowOff>28464</xdr:rowOff>
    </xdr:to>
    <xdr:cxnSp macro="">
      <xdr:nvCxnSpPr>
        <xdr:cNvPr id="136" name="Gerade Verbindung mit Pfeil 135"/>
        <xdr:cNvCxnSpPr/>
      </xdr:nvCxnSpPr>
      <xdr:spPr>
        <a:xfrm flipH="1" flipV="1">
          <a:off x="14558010" y="3714750"/>
          <a:ext cx="5200" cy="504714"/>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280319</xdr:colOff>
      <xdr:row>20</xdr:row>
      <xdr:rowOff>18077</xdr:rowOff>
    </xdr:from>
    <xdr:to>
      <xdr:col>22</xdr:col>
      <xdr:colOff>53340</xdr:colOff>
      <xdr:row>20</xdr:row>
      <xdr:rowOff>18078</xdr:rowOff>
    </xdr:to>
    <xdr:cxnSp macro="">
      <xdr:nvCxnSpPr>
        <xdr:cNvPr id="137" name="Gerade Verbindung 136"/>
        <xdr:cNvCxnSpPr/>
      </xdr:nvCxnSpPr>
      <xdr:spPr>
        <a:xfrm flipV="1">
          <a:off x="16282319" y="382807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531456</xdr:colOff>
      <xdr:row>20</xdr:row>
      <xdr:rowOff>20265</xdr:rowOff>
    </xdr:from>
    <xdr:to>
      <xdr:col>21</xdr:col>
      <xdr:colOff>304477</xdr:colOff>
      <xdr:row>20</xdr:row>
      <xdr:rowOff>20266</xdr:rowOff>
    </xdr:to>
    <xdr:cxnSp macro="">
      <xdr:nvCxnSpPr>
        <xdr:cNvPr id="138" name="Gerade Verbindung 137"/>
        <xdr:cNvCxnSpPr/>
      </xdr:nvCxnSpPr>
      <xdr:spPr>
        <a:xfrm flipV="1">
          <a:off x="15771456" y="383026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284129</xdr:colOff>
      <xdr:row>17</xdr:row>
      <xdr:rowOff>178097</xdr:rowOff>
    </xdr:from>
    <xdr:to>
      <xdr:col>22</xdr:col>
      <xdr:colOff>57150</xdr:colOff>
      <xdr:row>17</xdr:row>
      <xdr:rowOff>178098</xdr:rowOff>
    </xdr:to>
    <xdr:cxnSp macro="">
      <xdr:nvCxnSpPr>
        <xdr:cNvPr id="139" name="Gerade Verbindung 138"/>
        <xdr:cNvCxnSpPr/>
      </xdr:nvCxnSpPr>
      <xdr:spPr>
        <a:xfrm flipV="1">
          <a:off x="16286129" y="341659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535266</xdr:colOff>
      <xdr:row>17</xdr:row>
      <xdr:rowOff>180285</xdr:rowOff>
    </xdr:from>
    <xdr:to>
      <xdr:col>21</xdr:col>
      <xdr:colOff>308287</xdr:colOff>
      <xdr:row>17</xdr:row>
      <xdr:rowOff>180286</xdr:rowOff>
    </xdr:to>
    <xdr:cxnSp macro="">
      <xdr:nvCxnSpPr>
        <xdr:cNvPr id="140" name="Gerade Verbindung 139"/>
        <xdr:cNvCxnSpPr/>
      </xdr:nvCxnSpPr>
      <xdr:spPr>
        <a:xfrm flipV="1">
          <a:off x="15775266" y="341878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475046</xdr:colOff>
      <xdr:row>14</xdr:row>
      <xdr:rowOff>57951</xdr:rowOff>
    </xdr:from>
    <xdr:to>
      <xdr:col>18</xdr:col>
      <xdr:colOff>761298</xdr:colOff>
      <xdr:row>15</xdr:row>
      <xdr:rowOff>76002</xdr:rowOff>
    </xdr:to>
    <xdr:cxnSp macro="">
      <xdr:nvCxnSpPr>
        <xdr:cNvPr id="141" name="Gerade Verbindung 140"/>
        <xdr:cNvCxnSpPr/>
      </xdr:nvCxnSpPr>
      <xdr:spPr>
        <a:xfrm flipH="1" flipV="1">
          <a:off x="14191046" y="272495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80010</xdr:colOff>
      <xdr:row>17</xdr:row>
      <xdr:rowOff>87630</xdr:rowOff>
    </xdr:from>
    <xdr:to>
      <xdr:col>19</xdr:col>
      <xdr:colOff>83820</xdr:colOff>
      <xdr:row>20</xdr:row>
      <xdr:rowOff>118110</xdr:rowOff>
    </xdr:to>
    <xdr:cxnSp macro="">
      <xdr:nvCxnSpPr>
        <xdr:cNvPr id="142" name="Gerade Verbindung mit Pfeil 141"/>
        <xdr:cNvCxnSpPr/>
      </xdr:nvCxnSpPr>
      <xdr:spPr>
        <a:xfrm flipH="1" flipV="1">
          <a:off x="14558010" y="3326130"/>
          <a:ext cx="3810" cy="601980"/>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99060</xdr:colOff>
      <xdr:row>15</xdr:row>
      <xdr:rowOff>156210</xdr:rowOff>
    </xdr:from>
    <xdr:to>
      <xdr:col>22</xdr:col>
      <xdr:colOff>99060</xdr:colOff>
      <xdr:row>17</xdr:row>
      <xdr:rowOff>186690</xdr:rowOff>
    </xdr:to>
    <xdr:cxnSp macro="">
      <xdr:nvCxnSpPr>
        <xdr:cNvPr id="143" name="Gerade Verbindung mit Pfeil 142"/>
        <xdr:cNvCxnSpPr/>
      </xdr:nvCxnSpPr>
      <xdr:spPr>
        <a:xfrm>
          <a:off x="16863060" y="3013710"/>
          <a:ext cx="0" cy="411480"/>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99060</xdr:colOff>
      <xdr:row>13</xdr:row>
      <xdr:rowOff>140970</xdr:rowOff>
    </xdr:from>
    <xdr:to>
      <xdr:col>22</xdr:col>
      <xdr:colOff>99060</xdr:colOff>
      <xdr:row>15</xdr:row>
      <xdr:rowOff>160020</xdr:rowOff>
    </xdr:to>
    <xdr:cxnSp macro="">
      <xdr:nvCxnSpPr>
        <xdr:cNvPr id="144" name="Gerade Verbindung mit Pfeil 143"/>
        <xdr:cNvCxnSpPr/>
      </xdr:nvCxnSpPr>
      <xdr:spPr>
        <a:xfrm>
          <a:off x="16863060" y="2617470"/>
          <a:ext cx="0" cy="400050"/>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280319</xdr:colOff>
      <xdr:row>15</xdr:row>
      <xdr:rowOff>159047</xdr:rowOff>
    </xdr:from>
    <xdr:to>
      <xdr:col>22</xdr:col>
      <xdr:colOff>53340</xdr:colOff>
      <xdr:row>15</xdr:row>
      <xdr:rowOff>159048</xdr:rowOff>
    </xdr:to>
    <xdr:cxnSp macro="">
      <xdr:nvCxnSpPr>
        <xdr:cNvPr id="145" name="Gerade Verbindung 144"/>
        <xdr:cNvCxnSpPr/>
      </xdr:nvCxnSpPr>
      <xdr:spPr>
        <a:xfrm flipV="1">
          <a:off x="16282319" y="3016547"/>
          <a:ext cx="535021"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531456</xdr:colOff>
      <xdr:row>15</xdr:row>
      <xdr:rowOff>161235</xdr:rowOff>
    </xdr:from>
    <xdr:to>
      <xdr:col>21</xdr:col>
      <xdr:colOff>304477</xdr:colOff>
      <xdr:row>15</xdr:row>
      <xdr:rowOff>161236</xdr:rowOff>
    </xdr:to>
    <xdr:cxnSp macro="">
      <xdr:nvCxnSpPr>
        <xdr:cNvPr id="146" name="Gerade Verbindung 145"/>
        <xdr:cNvCxnSpPr/>
      </xdr:nvCxnSpPr>
      <xdr:spPr>
        <a:xfrm flipV="1">
          <a:off x="15771456" y="3018735"/>
          <a:ext cx="535021" cy="1"/>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478856</xdr:colOff>
      <xdr:row>16</xdr:row>
      <xdr:rowOff>61761</xdr:rowOff>
    </xdr:from>
    <xdr:to>
      <xdr:col>19</xdr:col>
      <xdr:colOff>3108</xdr:colOff>
      <xdr:row>17</xdr:row>
      <xdr:rowOff>79812</xdr:rowOff>
    </xdr:to>
    <xdr:cxnSp macro="">
      <xdr:nvCxnSpPr>
        <xdr:cNvPr id="147" name="Gerade Verbindung 146"/>
        <xdr:cNvCxnSpPr/>
      </xdr:nvCxnSpPr>
      <xdr:spPr>
        <a:xfrm flipH="1" flipV="1">
          <a:off x="14194856" y="3109761"/>
          <a:ext cx="286252" cy="20855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76200</xdr:colOff>
      <xdr:row>15</xdr:row>
      <xdr:rowOff>99060</xdr:rowOff>
    </xdr:from>
    <xdr:to>
      <xdr:col>19</xdr:col>
      <xdr:colOff>80010</xdr:colOff>
      <xdr:row>18</xdr:row>
      <xdr:rowOff>129540</xdr:rowOff>
    </xdr:to>
    <xdr:cxnSp macro="">
      <xdr:nvCxnSpPr>
        <xdr:cNvPr id="151" name="Gerade Verbindung mit Pfeil 150"/>
        <xdr:cNvCxnSpPr/>
      </xdr:nvCxnSpPr>
      <xdr:spPr>
        <a:xfrm flipH="1" flipV="1">
          <a:off x="14554200" y="2956560"/>
          <a:ext cx="3810" cy="601980"/>
        </a:xfrm>
        <a:prstGeom prst="straightConnector1">
          <a:avLst/>
        </a:prstGeom>
        <a:ln>
          <a:solidFill>
            <a:schemeClr val="tx1"/>
          </a:solidFill>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99060</xdr:colOff>
      <xdr:row>17</xdr:row>
      <xdr:rowOff>182880</xdr:rowOff>
    </xdr:from>
    <xdr:to>
      <xdr:col>22</xdr:col>
      <xdr:colOff>99060</xdr:colOff>
      <xdr:row>20</xdr:row>
      <xdr:rowOff>22860</xdr:rowOff>
    </xdr:to>
    <xdr:cxnSp macro="">
      <xdr:nvCxnSpPr>
        <xdr:cNvPr id="154" name="Gerade Verbindung mit Pfeil 153"/>
        <xdr:cNvCxnSpPr/>
      </xdr:nvCxnSpPr>
      <xdr:spPr>
        <a:xfrm>
          <a:off x="16863060" y="3421380"/>
          <a:ext cx="0" cy="411480"/>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99060</xdr:colOff>
      <xdr:row>20</xdr:row>
      <xdr:rowOff>26670</xdr:rowOff>
    </xdr:from>
    <xdr:to>
      <xdr:col>22</xdr:col>
      <xdr:colOff>99060</xdr:colOff>
      <xdr:row>22</xdr:row>
      <xdr:rowOff>57150</xdr:rowOff>
    </xdr:to>
    <xdr:cxnSp macro="">
      <xdr:nvCxnSpPr>
        <xdr:cNvPr id="155" name="Gerade Verbindung mit Pfeil 154"/>
        <xdr:cNvCxnSpPr/>
      </xdr:nvCxnSpPr>
      <xdr:spPr>
        <a:xfrm>
          <a:off x="16863060" y="3836670"/>
          <a:ext cx="0" cy="411480"/>
        </a:xfrm>
        <a:prstGeom prst="straightConnector1">
          <a:avLst/>
        </a:prstGeom>
        <a:ln>
          <a:solidFill>
            <a:schemeClr val="tx1"/>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36</xdr:row>
      <xdr:rowOff>161925</xdr:rowOff>
    </xdr:from>
    <xdr:to>
      <xdr:col>7</xdr:col>
      <xdr:colOff>171245</xdr:colOff>
      <xdr:row>43</xdr:row>
      <xdr:rowOff>37949</xdr:rowOff>
    </xdr:to>
    <xdr:pic>
      <xdr:nvPicPr>
        <xdr:cNvPr id="4" name="Grafik 3"/>
        <xdr:cNvPicPr>
          <a:picLocks noChangeAspect="1"/>
        </xdr:cNvPicPr>
      </xdr:nvPicPr>
      <xdr:blipFill>
        <a:blip xmlns:r="http://schemas.openxmlformats.org/officeDocument/2006/relationships" r:embed="rId1"/>
        <a:stretch>
          <a:fillRect/>
        </a:stretch>
      </xdr:blipFill>
      <xdr:spPr>
        <a:xfrm>
          <a:off x="266700" y="7772400"/>
          <a:ext cx="1638095" cy="1209524"/>
        </a:xfrm>
        <a:prstGeom prst="rect">
          <a:avLst/>
        </a:prstGeom>
      </xdr:spPr>
    </xdr:pic>
    <xdr:clientData/>
  </xdr:twoCellAnchor>
  <xdr:twoCellAnchor editAs="oneCell">
    <xdr:from>
      <xdr:col>9</xdr:col>
      <xdr:colOff>120650</xdr:colOff>
      <xdr:row>36</xdr:row>
      <xdr:rowOff>161925</xdr:rowOff>
    </xdr:from>
    <xdr:to>
      <xdr:col>16</xdr:col>
      <xdr:colOff>25195</xdr:colOff>
      <xdr:row>43</xdr:row>
      <xdr:rowOff>37949</xdr:rowOff>
    </xdr:to>
    <xdr:pic>
      <xdr:nvPicPr>
        <xdr:cNvPr id="5" name="Grafik 4"/>
        <xdr:cNvPicPr>
          <a:picLocks noChangeAspect="1"/>
        </xdr:cNvPicPr>
      </xdr:nvPicPr>
      <xdr:blipFill>
        <a:blip xmlns:r="http://schemas.openxmlformats.org/officeDocument/2006/relationships" r:embed="rId2"/>
        <a:stretch>
          <a:fillRect/>
        </a:stretch>
      </xdr:blipFill>
      <xdr:spPr>
        <a:xfrm>
          <a:off x="2349500" y="7772400"/>
          <a:ext cx="1638095" cy="1209524"/>
        </a:xfrm>
        <a:prstGeom prst="rect">
          <a:avLst/>
        </a:prstGeom>
      </xdr:spPr>
    </xdr:pic>
    <xdr:clientData/>
  </xdr:twoCellAnchor>
  <xdr:twoCellAnchor editAs="oneCell">
    <xdr:from>
      <xdr:col>17</xdr:col>
      <xdr:colOff>222250</xdr:colOff>
      <xdr:row>36</xdr:row>
      <xdr:rowOff>161925</xdr:rowOff>
    </xdr:from>
    <xdr:to>
      <xdr:col>24</xdr:col>
      <xdr:colOff>126795</xdr:colOff>
      <xdr:row>43</xdr:row>
      <xdr:rowOff>37949</xdr:rowOff>
    </xdr:to>
    <xdr:pic>
      <xdr:nvPicPr>
        <xdr:cNvPr id="6" name="Grafik 5"/>
        <xdr:cNvPicPr>
          <a:picLocks noChangeAspect="1"/>
        </xdr:cNvPicPr>
      </xdr:nvPicPr>
      <xdr:blipFill>
        <a:blip xmlns:r="http://schemas.openxmlformats.org/officeDocument/2006/relationships" r:embed="rId3"/>
        <a:stretch>
          <a:fillRect/>
        </a:stretch>
      </xdr:blipFill>
      <xdr:spPr>
        <a:xfrm>
          <a:off x="4432300" y="7772400"/>
          <a:ext cx="1638095" cy="1209524"/>
        </a:xfrm>
        <a:prstGeom prst="rect">
          <a:avLst/>
        </a:prstGeom>
      </xdr:spPr>
    </xdr:pic>
    <xdr:clientData/>
  </xdr:twoCellAnchor>
  <xdr:twoCellAnchor editAs="oneCell">
    <xdr:from>
      <xdr:col>26</xdr:col>
      <xdr:colOff>76200</xdr:colOff>
      <xdr:row>36</xdr:row>
      <xdr:rowOff>161925</xdr:rowOff>
    </xdr:from>
    <xdr:to>
      <xdr:col>32</xdr:col>
      <xdr:colOff>228395</xdr:colOff>
      <xdr:row>43</xdr:row>
      <xdr:rowOff>37949</xdr:rowOff>
    </xdr:to>
    <xdr:pic>
      <xdr:nvPicPr>
        <xdr:cNvPr id="7" name="Grafik 6"/>
        <xdr:cNvPicPr>
          <a:picLocks noChangeAspect="1"/>
        </xdr:cNvPicPr>
      </xdr:nvPicPr>
      <xdr:blipFill>
        <a:blip xmlns:r="http://schemas.openxmlformats.org/officeDocument/2006/relationships" r:embed="rId4"/>
        <a:stretch>
          <a:fillRect/>
        </a:stretch>
      </xdr:blipFill>
      <xdr:spPr>
        <a:xfrm>
          <a:off x="6515100" y="7772400"/>
          <a:ext cx="1638095" cy="1209524"/>
        </a:xfrm>
        <a:prstGeom prst="rect">
          <a:avLst/>
        </a:prstGeom>
      </xdr:spPr>
    </xdr:pic>
    <xdr:clientData/>
  </xdr:twoCellAnchor>
  <xdr:twoCellAnchor editAs="oneCell">
    <xdr:from>
      <xdr:col>2</xdr:col>
      <xdr:colOff>85725</xdr:colOff>
      <xdr:row>6</xdr:row>
      <xdr:rowOff>152400</xdr:rowOff>
    </xdr:from>
    <xdr:to>
      <xdr:col>7</xdr:col>
      <xdr:colOff>62323</xdr:colOff>
      <xdr:row>12</xdr:row>
      <xdr:rowOff>89400</xdr:rowOff>
    </xdr:to>
    <xdr:pic>
      <xdr:nvPicPr>
        <xdr:cNvPr id="20" name="Grafik 19"/>
        <xdr:cNvPicPr>
          <a:picLocks noChangeAspect="1"/>
        </xdr:cNvPicPr>
      </xdr:nvPicPr>
      <xdr:blipFill rotWithShape="1">
        <a:blip xmlns:r="http://schemas.openxmlformats.org/officeDocument/2006/relationships" r:embed="rId5"/>
        <a:srcRect t="1735" b="1143"/>
        <a:stretch/>
      </xdr:blipFill>
      <xdr:spPr>
        <a:xfrm>
          <a:off x="581025" y="2152650"/>
          <a:ext cx="1214848" cy="1080000"/>
        </a:xfrm>
        <a:prstGeom prst="rect">
          <a:avLst/>
        </a:prstGeom>
      </xdr:spPr>
    </xdr:pic>
    <xdr:clientData/>
  </xdr:twoCellAnchor>
  <xdr:twoCellAnchor>
    <xdr:from>
      <xdr:col>1</xdr:col>
      <xdr:colOff>9525</xdr:colOff>
      <xdr:row>1</xdr:row>
      <xdr:rowOff>9525</xdr:rowOff>
    </xdr:from>
    <xdr:to>
      <xdr:col>32</xdr:col>
      <xdr:colOff>238125</xdr:colOff>
      <xdr:row>2</xdr:row>
      <xdr:rowOff>11367</xdr:rowOff>
    </xdr:to>
    <xdr:grpSp>
      <xdr:nvGrpSpPr>
        <xdr:cNvPr id="14" name="Gruppieren 13"/>
        <xdr:cNvGrpSpPr/>
      </xdr:nvGrpSpPr>
      <xdr:grpSpPr>
        <a:xfrm>
          <a:off x="259556" y="200025"/>
          <a:ext cx="7979569" cy="1037686"/>
          <a:chOff x="200025" y="95250"/>
          <a:chExt cx="7905750" cy="1040067"/>
        </a:xfrm>
      </xdr:grpSpPr>
      <xdr:pic>
        <xdr:nvPicPr>
          <xdr:cNvPr id="15" name="Grafik 14"/>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16" name="Grafik 15"/>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17" name="Textfeld 16"/>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xdr:twoCellAnchor editAs="oneCell">
    <xdr:from>
      <xdr:col>24</xdr:col>
      <xdr:colOff>209550</xdr:colOff>
      <xdr:row>6</xdr:row>
      <xdr:rowOff>152401</xdr:rowOff>
    </xdr:from>
    <xdr:to>
      <xdr:col>33</xdr:col>
      <xdr:colOff>174241</xdr:colOff>
      <xdr:row>12</xdr:row>
      <xdr:rowOff>89401</xdr:rowOff>
    </xdr:to>
    <xdr:pic>
      <xdr:nvPicPr>
        <xdr:cNvPr id="18" name="Grafik 17"/>
        <xdr:cNvPicPr>
          <a:picLocks noChangeAspect="1"/>
        </xdr:cNvPicPr>
      </xdr:nvPicPr>
      <xdr:blipFill>
        <a:blip xmlns:r="http://schemas.openxmlformats.org/officeDocument/2006/relationships" r:embed="rId7"/>
        <a:stretch>
          <a:fillRect/>
        </a:stretch>
      </xdr:blipFill>
      <xdr:spPr>
        <a:xfrm>
          <a:off x="6153150" y="2152651"/>
          <a:ext cx="2193541" cy="1080000"/>
        </a:xfrm>
        <a:prstGeom prst="rect">
          <a:avLst/>
        </a:prstGeom>
      </xdr:spPr>
    </xdr:pic>
    <xdr:clientData/>
  </xdr:twoCellAnchor>
  <xdr:twoCellAnchor editAs="oneCell">
    <xdr:from>
      <xdr:col>14</xdr:col>
      <xdr:colOff>9526</xdr:colOff>
      <xdr:row>6</xdr:row>
      <xdr:rowOff>152400</xdr:rowOff>
    </xdr:from>
    <xdr:to>
      <xdr:col>18</xdr:col>
      <xdr:colOff>41069</xdr:colOff>
      <xdr:row>12</xdr:row>
      <xdr:rowOff>89400</xdr:rowOff>
    </xdr:to>
    <xdr:pic>
      <xdr:nvPicPr>
        <xdr:cNvPr id="21" name="Grafik 20"/>
        <xdr:cNvPicPr>
          <a:picLocks noChangeAspect="1"/>
        </xdr:cNvPicPr>
      </xdr:nvPicPr>
      <xdr:blipFill>
        <a:blip xmlns:r="http://schemas.openxmlformats.org/officeDocument/2006/relationships" r:embed="rId8"/>
        <a:stretch>
          <a:fillRect/>
        </a:stretch>
      </xdr:blipFill>
      <xdr:spPr>
        <a:xfrm>
          <a:off x="3476626" y="2152650"/>
          <a:ext cx="1022143" cy="1080000"/>
        </a:xfrm>
        <a:prstGeom prst="rect">
          <a:avLst/>
        </a:prstGeom>
      </xdr:spPr>
    </xdr:pic>
    <xdr:clientData/>
  </xdr:twoCellAnchor>
  <xdr:twoCellAnchor editAs="oneCell">
    <xdr:from>
      <xdr:col>1</xdr:col>
      <xdr:colOff>8061</xdr:colOff>
      <xdr:row>27</xdr:row>
      <xdr:rowOff>28576</xdr:rowOff>
    </xdr:from>
    <xdr:to>
      <xdr:col>8</xdr:col>
      <xdr:colOff>104020</xdr:colOff>
      <xdr:row>32</xdr:row>
      <xdr:rowOff>156076</xdr:rowOff>
    </xdr:to>
    <xdr:pic>
      <xdr:nvPicPr>
        <xdr:cNvPr id="25" name="Grafik 24"/>
        <xdr:cNvPicPr>
          <a:picLocks noChangeAspect="1"/>
        </xdr:cNvPicPr>
      </xdr:nvPicPr>
      <xdr:blipFill rotWithShape="1">
        <a:blip xmlns:r="http://schemas.openxmlformats.org/officeDocument/2006/relationships" r:embed="rId9"/>
        <a:srcRect t="24871" b="13216"/>
        <a:stretch/>
      </xdr:blipFill>
      <xdr:spPr>
        <a:xfrm>
          <a:off x="255711" y="5924551"/>
          <a:ext cx="1829509" cy="1080000"/>
        </a:xfrm>
        <a:prstGeom prst="rect">
          <a:avLst/>
        </a:prstGeom>
      </xdr:spPr>
    </xdr:pic>
    <xdr:clientData/>
  </xdr:twoCellAnchor>
  <xdr:twoCellAnchor editAs="oneCell">
    <xdr:from>
      <xdr:col>1</xdr:col>
      <xdr:colOff>8061</xdr:colOff>
      <xdr:row>19</xdr:row>
      <xdr:rowOff>85725</xdr:rowOff>
    </xdr:from>
    <xdr:to>
      <xdr:col>8</xdr:col>
      <xdr:colOff>35600</xdr:colOff>
      <xdr:row>25</xdr:row>
      <xdr:rowOff>22725</xdr:rowOff>
    </xdr:to>
    <xdr:pic>
      <xdr:nvPicPr>
        <xdr:cNvPr id="26" name="Grafik 25"/>
        <xdr:cNvPicPr>
          <a:picLocks noChangeAspect="1"/>
        </xdr:cNvPicPr>
      </xdr:nvPicPr>
      <xdr:blipFill rotWithShape="1">
        <a:blip xmlns:r="http://schemas.openxmlformats.org/officeDocument/2006/relationships" r:embed="rId10"/>
        <a:srcRect t="23813" b="11629"/>
        <a:stretch/>
      </xdr:blipFill>
      <xdr:spPr>
        <a:xfrm>
          <a:off x="255711" y="4457700"/>
          <a:ext cx="1761089" cy="1080000"/>
        </a:xfrm>
        <a:prstGeom prst="rect">
          <a:avLst/>
        </a:prstGeom>
      </xdr:spPr>
    </xdr:pic>
    <xdr:clientData/>
  </xdr:twoCellAnchor>
  <xdr:twoCellAnchor editAs="oneCell">
    <xdr:from>
      <xdr:col>9</xdr:col>
      <xdr:colOff>169485</xdr:colOff>
      <xdr:row>19</xdr:row>
      <xdr:rowOff>85725</xdr:rowOff>
    </xdr:from>
    <xdr:to>
      <xdr:col>16</xdr:col>
      <xdr:colOff>166341</xdr:colOff>
      <xdr:row>25</xdr:row>
      <xdr:rowOff>22725</xdr:rowOff>
    </xdr:to>
    <xdr:pic>
      <xdr:nvPicPr>
        <xdr:cNvPr id="27" name="Grafik 26"/>
        <xdr:cNvPicPr>
          <a:picLocks noChangeAspect="1"/>
        </xdr:cNvPicPr>
      </xdr:nvPicPr>
      <xdr:blipFill rotWithShape="1">
        <a:blip xmlns:r="http://schemas.openxmlformats.org/officeDocument/2006/relationships" r:embed="rId11"/>
        <a:srcRect t="22225" b="12158"/>
        <a:stretch/>
      </xdr:blipFill>
      <xdr:spPr>
        <a:xfrm>
          <a:off x="2398335" y="4457700"/>
          <a:ext cx="1730406" cy="1080000"/>
        </a:xfrm>
        <a:prstGeom prst="rect">
          <a:avLst/>
        </a:prstGeom>
      </xdr:spPr>
    </xdr:pic>
    <xdr:clientData/>
  </xdr:twoCellAnchor>
  <xdr:twoCellAnchor editAs="oneCell">
    <xdr:from>
      <xdr:col>18</xdr:col>
      <xdr:colOff>33526</xdr:colOff>
      <xdr:row>19</xdr:row>
      <xdr:rowOff>85725</xdr:rowOff>
    </xdr:from>
    <xdr:to>
      <xdr:col>24</xdr:col>
      <xdr:colOff>236858</xdr:colOff>
      <xdr:row>25</xdr:row>
      <xdr:rowOff>22725</xdr:rowOff>
    </xdr:to>
    <xdr:pic>
      <xdr:nvPicPr>
        <xdr:cNvPr id="28" name="Grafik 27"/>
        <xdr:cNvPicPr>
          <a:picLocks noChangeAspect="1"/>
        </xdr:cNvPicPr>
      </xdr:nvPicPr>
      <xdr:blipFill rotWithShape="1">
        <a:blip xmlns:r="http://schemas.openxmlformats.org/officeDocument/2006/relationships" r:embed="rId12"/>
        <a:srcRect t="21167" b="11629"/>
        <a:stretch/>
      </xdr:blipFill>
      <xdr:spPr>
        <a:xfrm>
          <a:off x="4491226" y="4457700"/>
          <a:ext cx="1689232" cy="1080000"/>
        </a:xfrm>
        <a:prstGeom prst="rect">
          <a:avLst/>
        </a:prstGeom>
      </xdr:spPr>
    </xdr:pic>
    <xdr:clientData/>
  </xdr:twoCellAnchor>
  <xdr:twoCellAnchor editAs="oneCell">
    <xdr:from>
      <xdr:col>26</xdr:col>
      <xdr:colOff>104042</xdr:colOff>
      <xdr:row>19</xdr:row>
      <xdr:rowOff>85725</xdr:rowOff>
    </xdr:from>
    <xdr:to>
      <xdr:col>32</xdr:col>
      <xdr:colOff>241868</xdr:colOff>
      <xdr:row>25</xdr:row>
      <xdr:rowOff>22725</xdr:rowOff>
    </xdr:to>
    <xdr:pic>
      <xdr:nvPicPr>
        <xdr:cNvPr id="29" name="Grafik 28"/>
        <xdr:cNvPicPr>
          <a:picLocks noChangeAspect="1"/>
        </xdr:cNvPicPr>
      </xdr:nvPicPr>
      <xdr:blipFill rotWithShape="1">
        <a:blip xmlns:r="http://schemas.openxmlformats.org/officeDocument/2006/relationships" r:embed="rId13"/>
        <a:srcRect t="20109" b="10042"/>
        <a:stretch/>
      </xdr:blipFill>
      <xdr:spPr>
        <a:xfrm>
          <a:off x="6542942" y="4457700"/>
          <a:ext cx="1623726" cy="10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24</xdr:row>
          <xdr:rowOff>66675</xdr:rowOff>
        </xdr:from>
        <xdr:to>
          <xdr:col>4</xdr:col>
          <xdr:colOff>66675</xdr:colOff>
          <xdr:row>26</xdr:row>
          <xdr:rowOff>152400</xdr:rowOff>
        </xdr:to>
        <xdr:sp macro="" textlink="">
          <xdr:nvSpPr>
            <xdr:cNvPr id="14346" name="Option Button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57150</xdr:rowOff>
        </xdr:from>
        <xdr:to>
          <xdr:col>13</xdr:col>
          <xdr:colOff>142875</xdr:colOff>
          <xdr:row>26</xdr:row>
          <xdr:rowOff>142875</xdr:rowOff>
        </xdr:to>
        <xdr:sp macro="" textlink="">
          <xdr:nvSpPr>
            <xdr:cNvPr id="14348" name="Option Button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238125</xdr:colOff>
          <xdr:row>24</xdr:row>
          <xdr:rowOff>180975</xdr:rowOff>
        </xdr:from>
        <xdr:to>
          <xdr:col>21</xdr:col>
          <xdr:colOff>28575</xdr:colOff>
          <xdr:row>26</xdr:row>
          <xdr:rowOff>47625</xdr:rowOff>
        </xdr:to>
        <xdr:sp macro="" textlink="">
          <xdr:nvSpPr>
            <xdr:cNvPr id="14349" name="Option Button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24</xdr:row>
          <xdr:rowOff>171450</xdr:rowOff>
        </xdr:from>
        <xdr:to>
          <xdr:col>28</xdr:col>
          <xdr:colOff>180975</xdr:colOff>
          <xdr:row>26</xdr:row>
          <xdr:rowOff>38100</xdr:rowOff>
        </xdr:to>
        <xdr:sp macro="" textlink="">
          <xdr:nvSpPr>
            <xdr:cNvPr id="14351" name="Option Button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32</xdr:row>
          <xdr:rowOff>171450</xdr:rowOff>
        </xdr:from>
        <xdr:to>
          <xdr:col>3</xdr:col>
          <xdr:colOff>180975</xdr:colOff>
          <xdr:row>34</xdr:row>
          <xdr:rowOff>38100</xdr:rowOff>
        </xdr:to>
        <xdr:sp macro="" textlink="">
          <xdr:nvSpPr>
            <xdr:cNvPr id="14352" name="Option Button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43</xdr:row>
          <xdr:rowOff>28575</xdr:rowOff>
        </xdr:from>
        <xdr:to>
          <xdr:col>5</xdr:col>
          <xdr:colOff>190500</xdr:colOff>
          <xdr:row>45</xdr:row>
          <xdr:rowOff>47625</xdr:rowOff>
        </xdr:to>
        <xdr:sp macro="" textlink="">
          <xdr:nvSpPr>
            <xdr:cNvPr id="14357" name="Option Button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43</xdr:row>
          <xdr:rowOff>28575</xdr:rowOff>
        </xdr:from>
        <xdr:to>
          <xdr:col>14</xdr:col>
          <xdr:colOff>28575</xdr:colOff>
          <xdr:row>45</xdr:row>
          <xdr:rowOff>47625</xdr:rowOff>
        </xdr:to>
        <xdr:sp macro="" textlink="">
          <xdr:nvSpPr>
            <xdr:cNvPr id="14358" name="Option Button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43</xdr:row>
          <xdr:rowOff>38100</xdr:rowOff>
        </xdr:from>
        <xdr:to>
          <xdr:col>22</xdr:col>
          <xdr:colOff>209550</xdr:colOff>
          <xdr:row>45</xdr:row>
          <xdr:rowOff>57150</xdr:rowOff>
        </xdr:to>
        <xdr:sp macro="" textlink="">
          <xdr:nvSpPr>
            <xdr:cNvPr id="14359" name="Option Button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43</xdr:row>
          <xdr:rowOff>38100</xdr:rowOff>
        </xdr:from>
        <xdr:to>
          <xdr:col>31</xdr:col>
          <xdr:colOff>95250</xdr:colOff>
          <xdr:row>45</xdr:row>
          <xdr:rowOff>57150</xdr:rowOff>
        </xdr:to>
        <xdr:sp macro="" textlink="">
          <xdr:nvSpPr>
            <xdr:cNvPr id="14360" name="Option Button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180975</xdr:rowOff>
        </xdr:from>
        <xdr:to>
          <xdr:col>32</xdr:col>
          <xdr:colOff>238125</xdr:colOff>
          <xdr:row>34</xdr:row>
          <xdr:rowOff>19050</xdr:rowOff>
        </xdr:to>
        <xdr:sp macro="" textlink="">
          <xdr:nvSpPr>
            <xdr:cNvPr id="14361" name="Group Box 25" hidden="1">
              <a:extLst>
                <a:ext uri="{63B3BB69-23CF-44E3-9099-C40C66FF867C}">
                  <a14:compatExt spid="_x0000_s143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250371</xdr:colOff>
      <xdr:row>17</xdr:row>
      <xdr:rowOff>180975</xdr:rowOff>
    </xdr:from>
    <xdr:to>
      <xdr:col>32</xdr:col>
      <xdr:colOff>238125</xdr:colOff>
      <xdr:row>34</xdr:row>
      <xdr:rowOff>21772</xdr:rowOff>
    </xdr:to>
    <xdr:sp macro="" textlink="">
      <xdr:nvSpPr>
        <xdr:cNvPr id="3" name="Rechteck 2"/>
        <xdr:cNvSpPr/>
      </xdr:nvSpPr>
      <xdr:spPr>
        <a:xfrm>
          <a:off x="250371" y="4176032"/>
          <a:ext cx="7999640" cy="3079297"/>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27</xdr:col>
      <xdr:colOff>209550</xdr:colOff>
      <xdr:row>4</xdr:row>
      <xdr:rowOff>9525</xdr:rowOff>
    </xdr:from>
    <xdr:to>
      <xdr:col>33</xdr:col>
      <xdr:colOff>0</xdr:colOff>
      <xdr:row>5</xdr:row>
      <xdr:rowOff>9525</xdr:rowOff>
    </xdr:to>
    <xdr:sp macro="" textlink="">
      <xdr:nvSpPr>
        <xdr:cNvPr id="2" name="Rechteck 1">
          <a:hlinkClick xmlns:r="http://schemas.openxmlformats.org/officeDocument/2006/relationships" r:id="rId14"/>
        </xdr:cNvPr>
        <xdr:cNvSpPr/>
      </xdr:nvSpPr>
      <xdr:spPr>
        <a:xfrm>
          <a:off x="6896100" y="1619250"/>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27</xdr:col>
      <xdr:colOff>219075</xdr:colOff>
      <xdr:row>47</xdr:row>
      <xdr:rowOff>9525</xdr:rowOff>
    </xdr:from>
    <xdr:to>
      <xdr:col>33</xdr:col>
      <xdr:colOff>9525</xdr:colOff>
      <xdr:row>48</xdr:row>
      <xdr:rowOff>9525</xdr:rowOff>
    </xdr:to>
    <xdr:sp macro="" textlink="">
      <xdr:nvSpPr>
        <xdr:cNvPr id="36" name="Rechteck 35">
          <a:hlinkClick xmlns:r="http://schemas.openxmlformats.org/officeDocument/2006/relationships" r:id="rId15"/>
        </xdr:cNvPr>
        <xdr:cNvSpPr/>
      </xdr:nvSpPr>
      <xdr:spPr>
        <a:xfrm>
          <a:off x="6905625" y="9725025"/>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mc:AlternateContent xmlns:mc="http://schemas.openxmlformats.org/markup-compatibility/2006">
    <mc:Choice xmlns:a14="http://schemas.microsoft.com/office/drawing/2010/main" Requires="a14">
      <xdr:twoCellAnchor editAs="oneCell">
        <xdr:from>
          <xdr:col>24</xdr:col>
          <xdr:colOff>238125</xdr:colOff>
          <xdr:row>15</xdr:row>
          <xdr:rowOff>9525</xdr:rowOff>
        </xdr:from>
        <xdr:to>
          <xdr:col>32</xdr:col>
          <xdr:colOff>238125</xdr:colOff>
          <xdr:row>16</xdr:row>
          <xdr:rowOff>19050</xdr:rowOff>
        </xdr:to>
        <xdr:sp macro="" textlink="">
          <xdr:nvSpPr>
            <xdr:cNvPr id="14362" name="Drop Down 26" hidden="1">
              <a:extLst>
                <a:ext uri="{63B3BB69-23CF-44E3-9099-C40C66FF867C}">
                  <a14:compatExt spid="_x0000_s14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26</xdr:col>
      <xdr:colOff>76200</xdr:colOff>
      <xdr:row>6</xdr:row>
      <xdr:rowOff>66675</xdr:rowOff>
    </xdr:from>
    <xdr:to>
      <xdr:col>31</xdr:col>
      <xdr:colOff>104617</xdr:colOff>
      <xdr:row>11</xdr:row>
      <xdr:rowOff>133223</xdr:rowOff>
    </xdr:to>
    <xdr:pic>
      <xdr:nvPicPr>
        <xdr:cNvPr id="7" name="Grafik 6"/>
        <xdr:cNvPicPr>
          <a:picLocks noChangeAspect="1"/>
        </xdr:cNvPicPr>
      </xdr:nvPicPr>
      <xdr:blipFill>
        <a:blip xmlns:r="http://schemas.openxmlformats.org/officeDocument/2006/relationships" r:embed="rId1"/>
        <a:stretch>
          <a:fillRect/>
        </a:stretch>
      </xdr:blipFill>
      <xdr:spPr>
        <a:xfrm>
          <a:off x="6515100" y="2066925"/>
          <a:ext cx="1266667" cy="1019048"/>
        </a:xfrm>
        <a:prstGeom prst="rect">
          <a:avLst/>
        </a:prstGeom>
      </xdr:spPr>
    </xdr:pic>
    <xdr:clientData/>
  </xdr:twoCellAnchor>
  <xdr:twoCellAnchor>
    <xdr:from>
      <xdr:col>1</xdr:col>
      <xdr:colOff>9525</xdr:colOff>
      <xdr:row>1</xdr:row>
      <xdr:rowOff>9525</xdr:rowOff>
    </xdr:from>
    <xdr:to>
      <xdr:col>32</xdr:col>
      <xdr:colOff>238125</xdr:colOff>
      <xdr:row>2</xdr:row>
      <xdr:rowOff>11367</xdr:rowOff>
    </xdr:to>
    <xdr:grpSp>
      <xdr:nvGrpSpPr>
        <xdr:cNvPr id="3" name="Gruppieren 2"/>
        <xdr:cNvGrpSpPr/>
      </xdr:nvGrpSpPr>
      <xdr:grpSpPr>
        <a:xfrm>
          <a:off x="257175" y="200025"/>
          <a:ext cx="7905750" cy="1040067"/>
          <a:chOff x="200025" y="95250"/>
          <a:chExt cx="7905750" cy="1040067"/>
        </a:xfrm>
      </xdr:grpSpPr>
      <xdr:pic>
        <xdr:nvPicPr>
          <xdr:cNvPr id="4" name="Grafik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5" name="Grafik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6" name="Textfeld 5"/>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mc:AlternateContent xmlns:mc="http://schemas.openxmlformats.org/markup-compatibility/2006">
    <mc:Choice xmlns:a14="http://schemas.microsoft.com/office/drawing/2010/main" Requires="a14">
      <xdr:oneCellAnchor>
        <xdr:from>
          <xdr:col>1</xdr:col>
          <xdr:colOff>28575</xdr:colOff>
          <xdr:row>25</xdr:row>
          <xdr:rowOff>38100</xdr:rowOff>
        </xdr:from>
        <xdr:ext cx="5648326" cy="3486150"/>
        <xdr:pic>
          <xdr:nvPicPr>
            <xdr:cNvPr id="16" name="Grafik 15"/>
            <xdr:cNvPicPr>
              <a:picLocks noChangeAspect="1"/>
              <a:extLst>
                <a:ext uri="{84589F7E-364E-4C9E-8A38-B11213B215E9}">
                  <a14:cameraTool cellRange="MEINEBILDERN" spid="_x0000_s20019"/>
                </a:ext>
              </a:extLst>
            </xdr:cNvPicPr>
          </xdr:nvPicPr>
          <xdr:blipFill rotWithShape="1">
            <a:blip xmlns:r="http://schemas.openxmlformats.org/officeDocument/2006/relationships" r:embed="rId3"/>
            <a:srcRect l="773" t="1070" r="666" b="1070"/>
            <a:stretch>
              <a:fillRect/>
            </a:stretch>
          </xdr:blipFill>
          <xdr:spPr>
            <a:xfrm>
              <a:off x="276225" y="5657850"/>
              <a:ext cx="5648326" cy="3486150"/>
            </a:xfrm>
            <a:prstGeom prst="rect">
              <a:avLst/>
            </a:prstGeom>
            <a:ln w="19050">
              <a:solidFill>
                <a:schemeClr val="bg1">
                  <a:lumMod val="85000"/>
                </a:schemeClr>
              </a:solidFill>
            </a:ln>
          </xdr:spPr>
        </xdr:pic>
        <xdr:clientData/>
      </xdr:oneCellAnchor>
    </mc:Choice>
    <mc:Fallback/>
  </mc:AlternateContent>
  <xdr:twoCellAnchor editAs="oneCell">
    <xdr:from>
      <xdr:col>16</xdr:col>
      <xdr:colOff>133350</xdr:colOff>
      <xdr:row>10</xdr:row>
      <xdr:rowOff>76200</xdr:rowOff>
    </xdr:from>
    <xdr:to>
      <xdr:col>19</xdr:col>
      <xdr:colOff>152400</xdr:colOff>
      <xdr:row>15</xdr:row>
      <xdr:rowOff>95129</xdr:rowOff>
    </xdr:to>
    <xdr:pic>
      <xdr:nvPicPr>
        <xdr:cNvPr id="9" name="Grafik 8"/>
        <xdr:cNvPicPr>
          <a:picLocks noChangeAspect="1"/>
        </xdr:cNvPicPr>
      </xdr:nvPicPr>
      <xdr:blipFill rotWithShape="1">
        <a:blip xmlns:r="http://schemas.openxmlformats.org/officeDocument/2006/relationships" r:embed="rId4"/>
        <a:srcRect r="58328"/>
        <a:stretch/>
      </xdr:blipFill>
      <xdr:spPr>
        <a:xfrm>
          <a:off x="4095750" y="2076450"/>
          <a:ext cx="762000" cy="971429"/>
        </a:xfrm>
        <a:prstGeom prst="rect">
          <a:avLst/>
        </a:prstGeom>
      </xdr:spPr>
    </xdr:pic>
    <xdr:clientData/>
  </xdr:twoCellAnchor>
  <xdr:twoCellAnchor editAs="oneCell">
    <xdr:from>
      <xdr:col>3</xdr:col>
      <xdr:colOff>0</xdr:colOff>
      <xdr:row>6</xdr:row>
      <xdr:rowOff>123825</xdr:rowOff>
    </xdr:from>
    <xdr:to>
      <xdr:col>6</xdr:col>
      <xdr:colOff>247526</xdr:colOff>
      <xdr:row>11</xdr:row>
      <xdr:rowOff>133230</xdr:rowOff>
    </xdr:to>
    <xdr:pic>
      <xdr:nvPicPr>
        <xdr:cNvPr id="10" name="Grafik 9"/>
        <xdr:cNvPicPr>
          <a:picLocks noChangeAspect="1"/>
        </xdr:cNvPicPr>
      </xdr:nvPicPr>
      <xdr:blipFill>
        <a:blip xmlns:r="http://schemas.openxmlformats.org/officeDocument/2006/relationships" r:embed="rId5"/>
        <a:stretch>
          <a:fillRect/>
        </a:stretch>
      </xdr:blipFill>
      <xdr:spPr>
        <a:xfrm>
          <a:off x="742950" y="2124075"/>
          <a:ext cx="990476" cy="961905"/>
        </a:xfrm>
        <a:prstGeom prst="rect">
          <a:avLst/>
        </a:prstGeom>
      </xdr:spPr>
    </xdr:pic>
    <xdr:clientData/>
  </xdr:twoCellAnchor>
  <xdr:twoCellAnchor>
    <xdr:from>
      <xdr:col>6</xdr:col>
      <xdr:colOff>178377</xdr:colOff>
      <xdr:row>10</xdr:row>
      <xdr:rowOff>59747</xdr:rowOff>
    </xdr:from>
    <xdr:to>
      <xdr:col>8</xdr:col>
      <xdr:colOff>171450</xdr:colOff>
      <xdr:row>11</xdr:row>
      <xdr:rowOff>66674</xdr:rowOff>
    </xdr:to>
    <xdr:sp macro="" textlink="$E$14">
      <xdr:nvSpPr>
        <xdr:cNvPr id="26" name="Textfeld 25"/>
        <xdr:cNvSpPr txBox="1"/>
      </xdr:nvSpPr>
      <xdr:spPr>
        <a:xfrm>
          <a:off x="1664277" y="2821997"/>
          <a:ext cx="488373" cy="197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C832CF9-AF60-4E11-9B3B-A7028BB4085F}" type="TxLink">
            <a:rPr lang="en-US" sz="1100" b="1" i="0" u="none" strike="noStrike">
              <a:solidFill>
                <a:srgbClr val="000000"/>
              </a:solidFill>
              <a:latin typeface="Calibri"/>
              <a:ea typeface="Verdana"/>
              <a:cs typeface="Calibri"/>
            </a:rPr>
            <a:pPr algn="l"/>
            <a:t>2</a:t>
          </a:fld>
          <a:endParaRPr lang="de-AT" sz="1100">
            <a:solidFill>
              <a:sysClr val="windowText" lastClr="000000"/>
            </a:solidFill>
          </a:endParaRPr>
        </a:p>
      </xdr:txBody>
    </xdr:sp>
    <xdr:clientData/>
  </xdr:twoCellAnchor>
  <xdr:twoCellAnchor>
    <xdr:from>
      <xdr:col>30</xdr:col>
      <xdr:colOff>168852</xdr:colOff>
      <xdr:row>6</xdr:row>
      <xdr:rowOff>145472</xdr:rowOff>
    </xdr:from>
    <xdr:to>
      <xdr:col>32</xdr:col>
      <xdr:colOff>161925</xdr:colOff>
      <xdr:row>7</xdr:row>
      <xdr:rowOff>152399</xdr:rowOff>
    </xdr:to>
    <xdr:sp macro="" textlink="$AC$14">
      <xdr:nvSpPr>
        <xdr:cNvPr id="27" name="Textfeld 26"/>
        <xdr:cNvSpPr txBox="1"/>
      </xdr:nvSpPr>
      <xdr:spPr>
        <a:xfrm>
          <a:off x="7598352" y="2145722"/>
          <a:ext cx="488373" cy="197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B7FF898-053D-4CF7-962C-6F6A0EEB4788}" type="TxLink">
            <a:rPr lang="en-US" sz="1100" b="1" i="0" u="none" strike="noStrike">
              <a:solidFill>
                <a:srgbClr val="000000"/>
              </a:solidFill>
              <a:latin typeface="Calibri"/>
              <a:ea typeface="Verdana"/>
              <a:cs typeface="Calibri"/>
            </a:rPr>
            <a:pPr algn="l"/>
            <a:t>2</a:t>
          </a:fld>
          <a:endParaRPr lang="de-AT" sz="1100">
            <a:solidFill>
              <a:sysClr val="windowText" lastClr="000000"/>
            </a:solidFill>
          </a:endParaRPr>
        </a:p>
      </xdr:txBody>
    </xdr:sp>
    <xdr:clientData/>
  </xdr:twoCellAnchor>
  <xdr:twoCellAnchor>
    <xdr:from>
      <xdr:col>18</xdr:col>
      <xdr:colOff>216477</xdr:colOff>
      <xdr:row>12</xdr:row>
      <xdr:rowOff>78797</xdr:rowOff>
    </xdr:from>
    <xdr:to>
      <xdr:col>20</xdr:col>
      <xdr:colOff>209550</xdr:colOff>
      <xdr:row>13</xdr:row>
      <xdr:rowOff>85724</xdr:rowOff>
    </xdr:to>
    <xdr:sp macro="" textlink="$R$18">
      <xdr:nvSpPr>
        <xdr:cNvPr id="28" name="Textfeld 27"/>
        <xdr:cNvSpPr txBox="1"/>
      </xdr:nvSpPr>
      <xdr:spPr>
        <a:xfrm>
          <a:off x="4674177" y="2460047"/>
          <a:ext cx="488373" cy="197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8C0EABD-F96A-4748-8CE8-9C39C8638757}" type="TxLink">
            <a:rPr lang="en-US" sz="1100" b="1" i="0" u="none" strike="noStrike">
              <a:solidFill>
                <a:srgbClr val="000000"/>
              </a:solidFill>
              <a:latin typeface="Calibri"/>
              <a:ea typeface="Verdana"/>
              <a:cs typeface="Calibri"/>
            </a:rPr>
            <a:pPr algn="l"/>
            <a:t>1</a:t>
          </a:fld>
          <a:endParaRPr lang="de-AT" sz="1100">
            <a:solidFill>
              <a:sysClr val="windowText" lastClr="000000"/>
            </a:solidFill>
          </a:endParaRPr>
        </a:p>
      </xdr:txBody>
    </xdr:sp>
    <xdr:clientData/>
  </xdr:twoCellAnchor>
  <xdr:twoCellAnchor editAs="oneCell">
    <xdr:from>
      <xdr:col>2</xdr:col>
      <xdr:colOff>171450</xdr:colOff>
      <xdr:row>15</xdr:row>
      <xdr:rowOff>180975</xdr:rowOff>
    </xdr:from>
    <xdr:to>
      <xdr:col>7</xdr:col>
      <xdr:colOff>66533</xdr:colOff>
      <xdr:row>20</xdr:row>
      <xdr:rowOff>152285</xdr:rowOff>
    </xdr:to>
    <xdr:pic>
      <xdr:nvPicPr>
        <xdr:cNvPr id="2" name="Grafik 1"/>
        <xdr:cNvPicPr>
          <a:picLocks noChangeAspect="1"/>
        </xdr:cNvPicPr>
      </xdr:nvPicPr>
      <xdr:blipFill>
        <a:blip xmlns:r="http://schemas.openxmlformats.org/officeDocument/2006/relationships" r:embed="rId6"/>
        <a:stretch>
          <a:fillRect/>
        </a:stretch>
      </xdr:blipFill>
      <xdr:spPr>
        <a:xfrm>
          <a:off x="666750" y="3895725"/>
          <a:ext cx="1133333" cy="923810"/>
        </a:xfrm>
        <a:prstGeom prst="rect">
          <a:avLst/>
        </a:prstGeom>
      </xdr:spPr>
    </xdr:pic>
    <xdr:clientData/>
  </xdr:twoCellAnchor>
  <xdr:twoCellAnchor editAs="oneCell">
    <xdr:from>
      <xdr:col>26</xdr:col>
      <xdr:colOff>228600</xdr:colOff>
      <xdr:row>16</xdr:row>
      <xdr:rowOff>19050</xdr:rowOff>
    </xdr:from>
    <xdr:to>
      <xdr:col>31</xdr:col>
      <xdr:colOff>114160</xdr:colOff>
      <xdr:row>20</xdr:row>
      <xdr:rowOff>171336</xdr:rowOff>
    </xdr:to>
    <xdr:pic>
      <xdr:nvPicPr>
        <xdr:cNvPr id="8" name="Grafik 7"/>
        <xdr:cNvPicPr>
          <a:picLocks noChangeAspect="1"/>
        </xdr:cNvPicPr>
      </xdr:nvPicPr>
      <xdr:blipFill>
        <a:blip xmlns:r="http://schemas.openxmlformats.org/officeDocument/2006/relationships" r:embed="rId7"/>
        <a:stretch>
          <a:fillRect/>
        </a:stretch>
      </xdr:blipFill>
      <xdr:spPr>
        <a:xfrm>
          <a:off x="6667500" y="3924300"/>
          <a:ext cx="1123810" cy="914286"/>
        </a:xfrm>
        <a:prstGeom prst="rect">
          <a:avLst/>
        </a:prstGeom>
      </xdr:spPr>
    </xdr:pic>
    <xdr:clientData/>
  </xdr:twoCellAnchor>
  <xdr:twoCellAnchor>
    <xdr:from>
      <xdr:col>1</xdr:col>
      <xdr:colOff>25977</xdr:colOff>
      <xdr:row>19</xdr:row>
      <xdr:rowOff>145472</xdr:rowOff>
    </xdr:from>
    <xdr:to>
      <xdr:col>3</xdr:col>
      <xdr:colOff>19050</xdr:colOff>
      <xdr:row>20</xdr:row>
      <xdr:rowOff>152399</xdr:rowOff>
    </xdr:to>
    <xdr:sp macro="" textlink="$E$23">
      <xdr:nvSpPr>
        <xdr:cNvPr id="22" name="Textfeld 21"/>
        <xdr:cNvSpPr txBox="1"/>
      </xdr:nvSpPr>
      <xdr:spPr>
        <a:xfrm>
          <a:off x="273627" y="4622222"/>
          <a:ext cx="488373" cy="197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3E34094-AED9-4794-8047-B1E2876C2CCB}" type="TxLink">
            <a:rPr lang="en-US" sz="1100" b="1" i="0" u="none" strike="noStrike">
              <a:solidFill>
                <a:srgbClr val="000000"/>
              </a:solidFill>
              <a:latin typeface="Calibri"/>
              <a:ea typeface="Verdana"/>
              <a:cs typeface="Calibri"/>
            </a:rPr>
            <a:pPr algn="r"/>
            <a:t>1</a:t>
          </a:fld>
          <a:endParaRPr lang="de-AT" sz="1100">
            <a:solidFill>
              <a:sysClr val="windowText" lastClr="000000"/>
            </a:solidFill>
          </a:endParaRPr>
        </a:p>
      </xdr:txBody>
    </xdr:sp>
    <xdr:clientData/>
  </xdr:twoCellAnchor>
  <xdr:twoCellAnchor>
    <xdr:from>
      <xdr:col>30</xdr:col>
      <xdr:colOff>245052</xdr:colOff>
      <xdr:row>19</xdr:row>
      <xdr:rowOff>154997</xdr:rowOff>
    </xdr:from>
    <xdr:to>
      <xdr:col>32</xdr:col>
      <xdr:colOff>238125</xdr:colOff>
      <xdr:row>20</xdr:row>
      <xdr:rowOff>161924</xdr:rowOff>
    </xdr:to>
    <xdr:sp macro="" textlink="$AC$23">
      <xdr:nvSpPr>
        <xdr:cNvPr id="23" name="Textfeld 22"/>
        <xdr:cNvSpPr txBox="1"/>
      </xdr:nvSpPr>
      <xdr:spPr>
        <a:xfrm>
          <a:off x="7674552" y="4631747"/>
          <a:ext cx="488373" cy="197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5116D8E-224B-41E1-ABAE-599C32A82CDC}" type="TxLink">
            <a:rPr lang="en-US" sz="1100" b="1" i="0" u="none" strike="noStrike">
              <a:solidFill>
                <a:srgbClr val="000000"/>
              </a:solidFill>
              <a:latin typeface="Calibri"/>
              <a:ea typeface="Verdana"/>
              <a:cs typeface="Calibri"/>
            </a:rPr>
            <a:pPr algn="l"/>
            <a:t>1</a:t>
          </a:fld>
          <a:endParaRPr lang="de-AT" sz="1100">
            <a:solidFill>
              <a:sysClr val="windowText" lastClr="000000"/>
            </a:solidFill>
          </a:endParaRPr>
        </a:p>
      </xdr:txBody>
    </xdr:sp>
    <xdr:clientData/>
  </xdr:twoCellAnchor>
  <xdr:twoCellAnchor>
    <xdr:from>
      <xdr:col>27</xdr:col>
      <xdr:colOff>219075</xdr:colOff>
      <xdr:row>4</xdr:row>
      <xdr:rowOff>0</xdr:rowOff>
    </xdr:from>
    <xdr:to>
      <xdr:col>33</xdr:col>
      <xdr:colOff>9525</xdr:colOff>
      <xdr:row>5</xdr:row>
      <xdr:rowOff>0</xdr:rowOff>
    </xdr:to>
    <xdr:sp macro="" textlink="">
      <xdr:nvSpPr>
        <xdr:cNvPr id="24" name="Rechteck 23">
          <a:hlinkClick xmlns:r="http://schemas.openxmlformats.org/officeDocument/2006/relationships" r:id="rId8"/>
        </xdr:cNvPr>
        <xdr:cNvSpPr/>
      </xdr:nvSpPr>
      <xdr:spPr>
        <a:xfrm>
          <a:off x="6905625" y="1609725"/>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27</xdr:col>
      <xdr:colOff>209550</xdr:colOff>
      <xdr:row>46</xdr:row>
      <xdr:rowOff>9525</xdr:rowOff>
    </xdr:from>
    <xdr:to>
      <xdr:col>33</xdr:col>
      <xdr:colOff>0</xdr:colOff>
      <xdr:row>47</xdr:row>
      <xdr:rowOff>9525</xdr:rowOff>
    </xdr:to>
    <xdr:sp macro="" textlink="">
      <xdr:nvSpPr>
        <xdr:cNvPr id="25" name="Rechteck 24">
          <a:hlinkClick xmlns:r="http://schemas.openxmlformats.org/officeDocument/2006/relationships" r:id="rId9"/>
        </xdr:cNvPr>
        <xdr:cNvSpPr/>
      </xdr:nvSpPr>
      <xdr:spPr>
        <a:xfrm>
          <a:off x="6896100" y="9639300"/>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14</xdr:row>
          <xdr:rowOff>19050</xdr:rowOff>
        </xdr:from>
        <xdr:to>
          <xdr:col>8</xdr:col>
          <xdr:colOff>228600</xdr:colOff>
          <xdr:row>15</xdr:row>
          <xdr:rowOff>9525</xdr:rowOff>
        </xdr:to>
        <xdr:sp macro="" textlink="">
          <xdr:nvSpPr>
            <xdr:cNvPr id="19916" name="Scroll Bar 460" hidden="1">
              <a:extLst>
                <a:ext uri="{63B3BB69-23CF-44E3-9099-C40C66FF867C}">
                  <a14:compatExt spid="_x0000_s199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xdr:rowOff>
        </xdr:from>
        <xdr:to>
          <xdr:col>8</xdr:col>
          <xdr:colOff>228600</xdr:colOff>
          <xdr:row>24</xdr:row>
          <xdr:rowOff>9525</xdr:rowOff>
        </xdr:to>
        <xdr:sp macro="" textlink="">
          <xdr:nvSpPr>
            <xdr:cNvPr id="19922" name="Scroll Bar 466" hidden="1">
              <a:extLst>
                <a:ext uri="{63B3BB69-23CF-44E3-9099-C40C66FF867C}">
                  <a14:compatExt spid="_x0000_s199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18</xdr:row>
          <xdr:rowOff>19050</xdr:rowOff>
        </xdr:from>
        <xdr:to>
          <xdr:col>21</xdr:col>
          <xdr:colOff>228600</xdr:colOff>
          <xdr:row>19</xdr:row>
          <xdr:rowOff>9525</xdr:rowOff>
        </xdr:to>
        <xdr:sp macro="" textlink="">
          <xdr:nvSpPr>
            <xdr:cNvPr id="19923" name="Scroll Bar 467" hidden="1">
              <a:extLst>
                <a:ext uri="{63B3BB69-23CF-44E3-9099-C40C66FF867C}">
                  <a14:compatExt spid="_x0000_s199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19050</xdr:rowOff>
        </xdr:from>
        <xdr:to>
          <xdr:col>32</xdr:col>
          <xdr:colOff>228600</xdr:colOff>
          <xdr:row>15</xdr:row>
          <xdr:rowOff>9525</xdr:rowOff>
        </xdr:to>
        <xdr:sp macro="" textlink="">
          <xdr:nvSpPr>
            <xdr:cNvPr id="19924" name="Scroll Bar 468" hidden="1">
              <a:extLst>
                <a:ext uri="{63B3BB69-23CF-44E3-9099-C40C66FF867C}">
                  <a14:compatExt spid="_x0000_s199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9525</xdr:rowOff>
        </xdr:from>
        <xdr:to>
          <xdr:col>32</xdr:col>
          <xdr:colOff>228600</xdr:colOff>
          <xdr:row>24</xdr:row>
          <xdr:rowOff>0</xdr:rowOff>
        </xdr:to>
        <xdr:sp macro="" textlink="">
          <xdr:nvSpPr>
            <xdr:cNvPr id="19925" name="Scroll Bar 469" hidden="1">
              <a:extLst>
                <a:ext uri="{63B3BB69-23CF-44E3-9099-C40C66FF867C}">
                  <a14:compatExt spid="_x0000_s1992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28</xdr:col>
      <xdr:colOff>47625</xdr:colOff>
      <xdr:row>23</xdr:row>
      <xdr:rowOff>85724</xdr:rowOff>
    </xdr:from>
    <xdr:to>
      <xdr:col>33</xdr:col>
      <xdr:colOff>28575</xdr:colOff>
      <xdr:row>28</xdr:row>
      <xdr:rowOff>116781</xdr:rowOff>
    </xdr:to>
    <xdr:pic>
      <xdr:nvPicPr>
        <xdr:cNvPr id="8" name="Grafik 7"/>
        <xdr:cNvPicPr>
          <a:picLocks noChangeAspect="1"/>
        </xdr:cNvPicPr>
      </xdr:nvPicPr>
      <xdr:blipFill>
        <a:blip xmlns:r="http://schemas.openxmlformats.org/officeDocument/2006/relationships" r:embed="rId1"/>
        <a:stretch>
          <a:fillRect/>
        </a:stretch>
      </xdr:blipFill>
      <xdr:spPr>
        <a:xfrm>
          <a:off x="7000875" y="2466974"/>
          <a:ext cx="1219200" cy="983557"/>
        </a:xfrm>
        <a:prstGeom prst="rect">
          <a:avLst/>
        </a:prstGeom>
      </xdr:spPr>
    </xdr:pic>
    <xdr:clientData/>
  </xdr:twoCellAnchor>
  <xdr:twoCellAnchor>
    <xdr:from>
      <xdr:col>1</xdr:col>
      <xdr:colOff>9525</xdr:colOff>
      <xdr:row>1</xdr:row>
      <xdr:rowOff>9525</xdr:rowOff>
    </xdr:from>
    <xdr:to>
      <xdr:col>32</xdr:col>
      <xdr:colOff>238125</xdr:colOff>
      <xdr:row>2</xdr:row>
      <xdr:rowOff>11367</xdr:rowOff>
    </xdr:to>
    <xdr:grpSp>
      <xdr:nvGrpSpPr>
        <xdr:cNvPr id="2" name="Gruppieren 1"/>
        <xdr:cNvGrpSpPr/>
      </xdr:nvGrpSpPr>
      <xdr:grpSpPr>
        <a:xfrm>
          <a:off x="257175" y="200025"/>
          <a:ext cx="8724900" cy="1040067"/>
          <a:chOff x="200025" y="95250"/>
          <a:chExt cx="7905750" cy="1040067"/>
        </a:xfrm>
      </xdr:grpSpPr>
      <xdr:pic>
        <xdr:nvPicPr>
          <xdr:cNvPr id="3" name="Grafik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4" name="Grafik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5" name="Textfeld 4"/>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mc:AlternateContent xmlns:mc="http://schemas.openxmlformats.org/markup-compatibility/2006">
    <mc:Choice xmlns:a14="http://schemas.microsoft.com/office/drawing/2010/main" Requires="a14">
      <xdr:twoCellAnchor editAs="oneCell">
        <xdr:from>
          <xdr:col>22</xdr:col>
          <xdr:colOff>47625</xdr:colOff>
          <xdr:row>23</xdr:row>
          <xdr:rowOff>142875</xdr:rowOff>
        </xdr:from>
        <xdr:to>
          <xdr:col>25</xdr:col>
          <xdr:colOff>152400</xdr:colOff>
          <xdr:row>24</xdr:row>
          <xdr:rowOff>152400</xdr:rowOff>
        </xdr:to>
        <xdr:sp macro="" textlink="">
          <xdr:nvSpPr>
            <xdr:cNvPr id="35847" name="Drop Down 7" hidden="1">
              <a:extLst>
                <a:ext uri="{63B3BB69-23CF-44E3-9099-C40C66FF867C}">
                  <a14:compatExt spid="_x0000_s35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25</xdr:row>
          <xdr:rowOff>0</xdr:rowOff>
        </xdr:from>
        <xdr:to>
          <xdr:col>25</xdr:col>
          <xdr:colOff>152400</xdr:colOff>
          <xdr:row>26</xdr:row>
          <xdr:rowOff>9525</xdr:rowOff>
        </xdr:to>
        <xdr:sp macro="" textlink="">
          <xdr:nvSpPr>
            <xdr:cNvPr id="35855" name="Drop Down 15" hidden="1">
              <a:extLst>
                <a:ext uri="{63B3BB69-23CF-44E3-9099-C40C66FF867C}">
                  <a14:compatExt spid="_x0000_s35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26</xdr:row>
          <xdr:rowOff>38100</xdr:rowOff>
        </xdr:from>
        <xdr:to>
          <xdr:col>25</xdr:col>
          <xdr:colOff>152400</xdr:colOff>
          <xdr:row>27</xdr:row>
          <xdr:rowOff>47625</xdr:rowOff>
        </xdr:to>
        <xdr:sp macro="" textlink="">
          <xdr:nvSpPr>
            <xdr:cNvPr id="35858" name="Drop Down 18" hidden="1">
              <a:extLst>
                <a:ext uri="{63B3BB69-23CF-44E3-9099-C40C66FF867C}">
                  <a14:compatExt spid="_x0000_s35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28</xdr:row>
          <xdr:rowOff>9525</xdr:rowOff>
        </xdr:from>
        <xdr:to>
          <xdr:col>28</xdr:col>
          <xdr:colOff>28575</xdr:colOff>
          <xdr:row>29</xdr:row>
          <xdr:rowOff>19050</xdr:rowOff>
        </xdr:to>
        <xdr:sp macro="" textlink="">
          <xdr:nvSpPr>
            <xdr:cNvPr id="35867" name="Drop Down 27" hidden="1">
              <a:extLst>
                <a:ext uri="{63B3BB69-23CF-44E3-9099-C40C66FF867C}">
                  <a14:compatExt spid="_x0000_s35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152400</xdr:rowOff>
        </xdr:from>
        <xdr:to>
          <xdr:col>25</xdr:col>
          <xdr:colOff>152400</xdr:colOff>
          <xdr:row>30</xdr:row>
          <xdr:rowOff>161925</xdr:rowOff>
        </xdr:to>
        <xdr:sp macro="" textlink="">
          <xdr:nvSpPr>
            <xdr:cNvPr id="35874" name="Drop Down 34" hidden="1">
              <a:extLst>
                <a:ext uri="{63B3BB69-23CF-44E3-9099-C40C66FF867C}">
                  <a14:compatExt spid="_x0000_s35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31</xdr:row>
          <xdr:rowOff>9525</xdr:rowOff>
        </xdr:from>
        <xdr:to>
          <xdr:col>25</xdr:col>
          <xdr:colOff>152400</xdr:colOff>
          <xdr:row>32</xdr:row>
          <xdr:rowOff>19050</xdr:rowOff>
        </xdr:to>
        <xdr:sp macro="" textlink="">
          <xdr:nvSpPr>
            <xdr:cNvPr id="35875" name="Drop Down 35" hidden="1">
              <a:extLst>
                <a:ext uri="{63B3BB69-23CF-44E3-9099-C40C66FF867C}">
                  <a14:compatExt spid="_x0000_s35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32</xdr:row>
          <xdr:rowOff>47625</xdr:rowOff>
        </xdr:from>
        <xdr:to>
          <xdr:col>25</xdr:col>
          <xdr:colOff>152400</xdr:colOff>
          <xdr:row>33</xdr:row>
          <xdr:rowOff>57150</xdr:rowOff>
        </xdr:to>
        <xdr:sp macro="" textlink="">
          <xdr:nvSpPr>
            <xdr:cNvPr id="35876" name="Drop Down 36" hidden="1">
              <a:extLst>
                <a:ext uri="{63B3BB69-23CF-44E3-9099-C40C66FF867C}">
                  <a14:compatExt spid="_x0000_s35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38100</xdr:colOff>
      <xdr:row>25</xdr:row>
      <xdr:rowOff>76200</xdr:rowOff>
    </xdr:from>
    <xdr:to>
      <xdr:col>31</xdr:col>
      <xdr:colOff>114300</xdr:colOff>
      <xdr:row>27</xdr:row>
      <xdr:rowOff>0</xdr:rowOff>
    </xdr:to>
    <xdr:sp macro="" textlink="">
      <xdr:nvSpPr>
        <xdr:cNvPr id="9" name="Textfeld 8"/>
        <xdr:cNvSpPr txBox="1"/>
      </xdr:nvSpPr>
      <xdr:spPr>
        <a:xfrm>
          <a:off x="7486650" y="2838450"/>
          <a:ext cx="323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solidFill>
                <a:schemeClr val="bg1"/>
              </a:solidFill>
            </a:rPr>
            <a:t>D</a:t>
          </a:r>
        </a:p>
      </xdr:txBody>
    </xdr:sp>
    <xdr:clientData/>
  </xdr:twoCellAnchor>
  <xdr:oneCellAnchor>
    <xdr:from>
      <xdr:col>11</xdr:col>
      <xdr:colOff>47625</xdr:colOff>
      <xdr:row>10</xdr:row>
      <xdr:rowOff>85724</xdr:rowOff>
    </xdr:from>
    <xdr:ext cx="1219200" cy="983557"/>
    <xdr:pic>
      <xdr:nvPicPr>
        <xdr:cNvPr id="31" name="Grafik 30"/>
        <xdr:cNvPicPr>
          <a:picLocks noChangeAspect="1"/>
        </xdr:cNvPicPr>
      </xdr:nvPicPr>
      <xdr:blipFill>
        <a:blip xmlns:r="http://schemas.openxmlformats.org/officeDocument/2006/relationships" r:embed="rId1"/>
        <a:stretch>
          <a:fillRect/>
        </a:stretch>
      </xdr:blipFill>
      <xdr:spPr>
        <a:xfrm>
          <a:off x="7000875" y="5705474"/>
          <a:ext cx="1219200" cy="98355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10</xdr:row>
          <xdr:rowOff>142875</xdr:rowOff>
        </xdr:from>
        <xdr:to>
          <xdr:col>9</xdr:col>
          <xdr:colOff>171450</xdr:colOff>
          <xdr:row>11</xdr:row>
          <xdr:rowOff>152400</xdr:rowOff>
        </xdr:to>
        <xdr:sp macro="" textlink="">
          <xdr:nvSpPr>
            <xdr:cNvPr id="35902" name="Drop Down 62" hidden="1">
              <a:extLst>
                <a:ext uri="{63B3BB69-23CF-44E3-9099-C40C66FF867C}">
                  <a14:compatExt spid="_x0000_s35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9</xdr:col>
          <xdr:colOff>171450</xdr:colOff>
          <xdr:row>13</xdr:row>
          <xdr:rowOff>9525</xdr:rowOff>
        </xdr:to>
        <xdr:sp macro="" textlink="">
          <xdr:nvSpPr>
            <xdr:cNvPr id="35903" name="Drop Down 63" hidden="1">
              <a:extLst>
                <a:ext uri="{63B3BB69-23CF-44E3-9099-C40C66FF867C}">
                  <a14:compatExt spid="_x0000_s35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9</xdr:col>
          <xdr:colOff>171450</xdr:colOff>
          <xdr:row>14</xdr:row>
          <xdr:rowOff>47625</xdr:rowOff>
        </xdr:to>
        <xdr:sp macro="" textlink="">
          <xdr:nvSpPr>
            <xdr:cNvPr id="35904" name="Drop Down 64" hidden="1">
              <a:extLst>
                <a:ext uri="{63B3BB69-23CF-44E3-9099-C40C66FF867C}">
                  <a14:compatExt spid="_x0000_s35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15</xdr:row>
          <xdr:rowOff>9525</xdr:rowOff>
        </xdr:from>
        <xdr:to>
          <xdr:col>12</xdr:col>
          <xdr:colOff>66675</xdr:colOff>
          <xdr:row>16</xdr:row>
          <xdr:rowOff>19050</xdr:rowOff>
        </xdr:to>
        <xdr:sp macro="" textlink="">
          <xdr:nvSpPr>
            <xdr:cNvPr id="35905" name="Drop Down 65" hidden="1">
              <a:extLst>
                <a:ext uri="{63B3BB69-23CF-44E3-9099-C40C66FF867C}">
                  <a14:compatExt spid="_x0000_s35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152400</xdr:rowOff>
        </xdr:from>
        <xdr:to>
          <xdr:col>9</xdr:col>
          <xdr:colOff>171450</xdr:colOff>
          <xdr:row>17</xdr:row>
          <xdr:rowOff>161925</xdr:rowOff>
        </xdr:to>
        <xdr:sp macro="" textlink="">
          <xdr:nvSpPr>
            <xdr:cNvPr id="35906" name="Drop Down 66" hidden="1">
              <a:extLst>
                <a:ext uri="{63B3BB69-23CF-44E3-9099-C40C66FF867C}">
                  <a14:compatExt spid="_x0000_s35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9525</xdr:rowOff>
        </xdr:from>
        <xdr:to>
          <xdr:col>9</xdr:col>
          <xdr:colOff>171450</xdr:colOff>
          <xdr:row>19</xdr:row>
          <xdr:rowOff>19050</xdr:rowOff>
        </xdr:to>
        <xdr:sp macro="" textlink="">
          <xdr:nvSpPr>
            <xdr:cNvPr id="35907" name="Drop Down 67" hidden="1">
              <a:extLst>
                <a:ext uri="{63B3BB69-23CF-44E3-9099-C40C66FF867C}">
                  <a14:compatExt spid="_x0000_s35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47625</xdr:rowOff>
        </xdr:from>
        <xdr:to>
          <xdr:col>9</xdr:col>
          <xdr:colOff>171450</xdr:colOff>
          <xdr:row>20</xdr:row>
          <xdr:rowOff>57150</xdr:rowOff>
        </xdr:to>
        <xdr:sp macro="" textlink="">
          <xdr:nvSpPr>
            <xdr:cNvPr id="35908" name="Drop Down 68" hidden="1">
              <a:extLst>
                <a:ext uri="{63B3BB69-23CF-44E3-9099-C40C66FF867C}">
                  <a14:compatExt spid="_x0000_s35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38100</xdr:colOff>
      <xdr:row>12</xdr:row>
      <xdr:rowOff>76200</xdr:rowOff>
    </xdr:from>
    <xdr:to>
      <xdr:col>14</xdr:col>
      <xdr:colOff>114300</xdr:colOff>
      <xdr:row>14</xdr:row>
      <xdr:rowOff>0</xdr:rowOff>
    </xdr:to>
    <xdr:sp macro="" textlink="">
      <xdr:nvSpPr>
        <xdr:cNvPr id="39" name="Textfeld 38"/>
        <xdr:cNvSpPr txBox="1"/>
      </xdr:nvSpPr>
      <xdr:spPr>
        <a:xfrm>
          <a:off x="7486650" y="6076950"/>
          <a:ext cx="323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solidFill>
                <a:schemeClr val="bg1"/>
              </a:solidFill>
            </a:rPr>
            <a:t>A</a:t>
          </a:r>
        </a:p>
      </xdr:txBody>
    </xdr:sp>
    <xdr:clientData/>
  </xdr:twoCellAnchor>
  <xdr:oneCellAnchor>
    <xdr:from>
      <xdr:col>28</xdr:col>
      <xdr:colOff>47625</xdr:colOff>
      <xdr:row>10</xdr:row>
      <xdr:rowOff>85724</xdr:rowOff>
    </xdr:from>
    <xdr:ext cx="1219200" cy="983557"/>
    <xdr:pic>
      <xdr:nvPicPr>
        <xdr:cNvPr id="40" name="Grafik 39"/>
        <xdr:cNvPicPr>
          <a:picLocks noChangeAspect="1"/>
        </xdr:cNvPicPr>
      </xdr:nvPicPr>
      <xdr:blipFill>
        <a:blip xmlns:r="http://schemas.openxmlformats.org/officeDocument/2006/relationships" r:embed="rId1"/>
        <a:stretch>
          <a:fillRect/>
        </a:stretch>
      </xdr:blipFill>
      <xdr:spPr>
        <a:xfrm>
          <a:off x="7000875" y="5705474"/>
          <a:ext cx="1219200" cy="98355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22</xdr:col>
          <xdr:colOff>47625</xdr:colOff>
          <xdr:row>10</xdr:row>
          <xdr:rowOff>142875</xdr:rowOff>
        </xdr:from>
        <xdr:to>
          <xdr:col>25</xdr:col>
          <xdr:colOff>152400</xdr:colOff>
          <xdr:row>11</xdr:row>
          <xdr:rowOff>152400</xdr:rowOff>
        </xdr:to>
        <xdr:sp macro="" textlink="">
          <xdr:nvSpPr>
            <xdr:cNvPr id="35909" name="Drop Down 69" hidden="1">
              <a:extLst>
                <a:ext uri="{63B3BB69-23CF-44E3-9099-C40C66FF867C}">
                  <a14:compatExt spid="_x0000_s35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25</xdr:col>
          <xdr:colOff>152400</xdr:colOff>
          <xdr:row>13</xdr:row>
          <xdr:rowOff>9525</xdr:rowOff>
        </xdr:to>
        <xdr:sp macro="" textlink="">
          <xdr:nvSpPr>
            <xdr:cNvPr id="35910" name="Drop Down 70" hidden="1">
              <a:extLst>
                <a:ext uri="{63B3BB69-23CF-44E3-9099-C40C66FF867C}">
                  <a14:compatExt spid="_x0000_s35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38100</xdr:rowOff>
        </xdr:from>
        <xdr:to>
          <xdr:col>25</xdr:col>
          <xdr:colOff>152400</xdr:colOff>
          <xdr:row>14</xdr:row>
          <xdr:rowOff>47625</xdr:rowOff>
        </xdr:to>
        <xdr:sp macro="" textlink="">
          <xdr:nvSpPr>
            <xdr:cNvPr id="35911" name="Drop Down 71" hidden="1">
              <a:extLst>
                <a:ext uri="{63B3BB69-23CF-44E3-9099-C40C66FF867C}">
                  <a14:compatExt spid="_x0000_s35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9525</xdr:rowOff>
        </xdr:from>
        <xdr:to>
          <xdr:col>28</xdr:col>
          <xdr:colOff>28575</xdr:colOff>
          <xdr:row>16</xdr:row>
          <xdr:rowOff>19050</xdr:rowOff>
        </xdr:to>
        <xdr:sp macro="" textlink="">
          <xdr:nvSpPr>
            <xdr:cNvPr id="35912" name="Drop Down 72" hidden="1">
              <a:extLst>
                <a:ext uri="{63B3BB69-23CF-44E3-9099-C40C66FF867C}">
                  <a14:compatExt spid="_x0000_s35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16</xdr:row>
          <xdr:rowOff>152400</xdr:rowOff>
        </xdr:from>
        <xdr:to>
          <xdr:col>25</xdr:col>
          <xdr:colOff>152400</xdr:colOff>
          <xdr:row>17</xdr:row>
          <xdr:rowOff>161925</xdr:rowOff>
        </xdr:to>
        <xdr:sp macro="" textlink="">
          <xdr:nvSpPr>
            <xdr:cNvPr id="35913" name="Drop Down 73" hidden="1">
              <a:extLst>
                <a:ext uri="{63B3BB69-23CF-44E3-9099-C40C66FF867C}">
                  <a14:compatExt spid="_x0000_s35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18</xdr:row>
          <xdr:rowOff>9525</xdr:rowOff>
        </xdr:from>
        <xdr:to>
          <xdr:col>25</xdr:col>
          <xdr:colOff>152400</xdr:colOff>
          <xdr:row>19</xdr:row>
          <xdr:rowOff>19050</xdr:rowOff>
        </xdr:to>
        <xdr:sp macro="" textlink="">
          <xdr:nvSpPr>
            <xdr:cNvPr id="35914" name="Drop Down 74" hidden="1">
              <a:extLst>
                <a:ext uri="{63B3BB69-23CF-44E3-9099-C40C66FF867C}">
                  <a14:compatExt spid="_x0000_s35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19</xdr:row>
          <xdr:rowOff>47625</xdr:rowOff>
        </xdr:from>
        <xdr:to>
          <xdr:col>25</xdr:col>
          <xdr:colOff>152400</xdr:colOff>
          <xdr:row>20</xdr:row>
          <xdr:rowOff>57150</xdr:rowOff>
        </xdr:to>
        <xdr:sp macro="" textlink="">
          <xdr:nvSpPr>
            <xdr:cNvPr id="35915" name="Drop Down 75" hidden="1">
              <a:extLst>
                <a:ext uri="{63B3BB69-23CF-44E3-9099-C40C66FF867C}">
                  <a14:compatExt spid="_x0000_s35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38100</xdr:colOff>
      <xdr:row>12</xdr:row>
      <xdr:rowOff>76200</xdr:rowOff>
    </xdr:from>
    <xdr:to>
      <xdr:col>31</xdr:col>
      <xdr:colOff>114300</xdr:colOff>
      <xdr:row>14</xdr:row>
      <xdr:rowOff>0</xdr:rowOff>
    </xdr:to>
    <xdr:sp macro="" textlink="">
      <xdr:nvSpPr>
        <xdr:cNvPr id="48" name="Textfeld 47"/>
        <xdr:cNvSpPr txBox="1"/>
      </xdr:nvSpPr>
      <xdr:spPr>
        <a:xfrm>
          <a:off x="7486650" y="6076950"/>
          <a:ext cx="323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solidFill>
                <a:schemeClr val="bg1"/>
              </a:solidFill>
            </a:rPr>
            <a:t>B</a:t>
          </a:r>
        </a:p>
      </xdr:txBody>
    </xdr:sp>
    <xdr:clientData/>
  </xdr:twoCellAnchor>
  <xdr:oneCellAnchor>
    <xdr:from>
      <xdr:col>11</xdr:col>
      <xdr:colOff>47625</xdr:colOff>
      <xdr:row>23</xdr:row>
      <xdr:rowOff>85724</xdr:rowOff>
    </xdr:from>
    <xdr:ext cx="1219200" cy="983557"/>
    <xdr:pic>
      <xdr:nvPicPr>
        <xdr:cNvPr id="49" name="Grafik 48"/>
        <xdr:cNvPicPr>
          <a:picLocks noChangeAspect="1"/>
        </xdr:cNvPicPr>
      </xdr:nvPicPr>
      <xdr:blipFill>
        <a:blip xmlns:r="http://schemas.openxmlformats.org/officeDocument/2006/relationships" r:embed="rId1"/>
        <a:stretch>
          <a:fillRect/>
        </a:stretch>
      </xdr:blipFill>
      <xdr:spPr>
        <a:xfrm>
          <a:off x="7000875" y="5705474"/>
          <a:ext cx="1219200" cy="98355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23</xdr:row>
          <xdr:rowOff>142875</xdr:rowOff>
        </xdr:from>
        <xdr:to>
          <xdr:col>9</xdr:col>
          <xdr:colOff>171450</xdr:colOff>
          <xdr:row>24</xdr:row>
          <xdr:rowOff>152400</xdr:rowOff>
        </xdr:to>
        <xdr:sp macro="" textlink="">
          <xdr:nvSpPr>
            <xdr:cNvPr id="35916" name="Drop Down 76" hidden="1">
              <a:extLst>
                <a:ext uri="{63B3BB69-23CF-44E3-9099-C40C66FF867C}">
                  <a14:compatExt spid="_x0000_s35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9</xdr:col>
          <xdr:colOff>171450</xdr:colOff>
          <xdr:row>26</xdr:row>
          <xdr:rowOff>9525</xdr:rowOff>
        </xdr:to>
        <xdr:sp macro="" textlink="">
          <xdr:nvSpPr>
            <xdr:cNvPr id="35917" name="Drop Down 77" hidden="1">
              <a:extLst>
                <a:ext uri="{63B3BB69-23CF-44E3-9099-C40C66FF867C}">
                  <a14:compatExt spid="_x0000_s35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38100</xdr:rowOff>
        </xdr:from>
        <xdr:to>
          <xdr:col>9</xdr:col>
          <xdr:colOff>171450</xdr:colOff>
          <xdr:row>27</xdr:row>
          <xdr:rowOff>47625</xdr:rowOff>
        </xdr:to>
        <xdr:sp macro="" textlink="">
          <xdr:nvSpPr>
            <xdr:cNvPr id="35918" name="Drop Down 78" hidden="1">
              <a:extLst>
                <a:ext uri="{63B3BB69-23CF-44E3-9099-C40C66FF867C}">
                  <a14:compatExt spid="_x0000_s35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28</xdr:row>
          <xdr:rowOff>9525</xdr:rowOff>
        </xdr:from>
        <xdr:to>
          <xdr:col>12</xdr:col>
          <xdr:colOff>66675</xdr:colOff>
          <xdr:row>29</xdr:row>
          <xdr:rowOff>19050</xdr:rowOff>
        </xdr:to>
        <xdr:sp macro="" textlink="">
          <xdr:nvSpPr>
            <xdr:cNvPr id="35919" name="Drop Down 79" hidden="1">
              <a:extLst>
                <a:ext uri="{63B3BB69-23CF-44E3-9099-C40C66FF867C}">
                  <a14:compatExt spid="_x0000_s35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152400</xdr:rowOff>
        </xdr:from>
        <xdr:to>
          <xdr:col>9</xdr:col>
          <xdr:colOff>171450</xdr:colOff>
          <xdr:row>30</xdr:row>
          <xdr:rowOff>161925</xdr:rowOff>
        </xdr:to>
        <xdr:sp macro="" textlink="">
          <xdr:nvSpPr>
            <xdr:cNvPr id="35920" name="Drop Down 80" hidden="1">
              <a:extLst>
                <a:ext uri="{63B3BB69-23CF-44E3-9099-C40C66FF867C}">
                  <a14:compatExt spid="_x0000_s35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9525</xdr:rowOff>
        </xdr:from>
        <xdr:to>
          <xdr:col>9</xdr:col>
          <xdr:colOff>171450</xdr:colOff>
          <xdr:row>32</xdr:row>
          <xdr:rowOff>19050</xdr:rowOff>
        </xdr:to>
        <xdr:sp macro="" textlink="">
          <xdr:nvSpPr>
            <xdr:cNvPr id="35921" name="Drop Down 81" hidden="1">
              <a:extLst>
                <a:ext uri="{63B3BB69-23CF-44E3-9099-C40C66FF867C}">
                  <a14:compatExt spid="_x0000_s35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47625</xdr:rowOff>
        </xdr:from>
        <xdr:to>
          <xdr:col>9</xdr:col>
          <xdr:colOff>171450</xdr:colOff>
          <xdr:row>33</xdr:row>
          <xdr:rowOff>57150</xdr:rowOff>
        </xdr:to>
        <xdr:sp macro="" textlink="">
          <xdr:nvSpPr>
            <xdr:cNvPr id="35922" name="Drop Down 82" hidden="1">
              <a:extLst>
                <a:ext uri="{63B3BB69-23CF-44E3-9099-C40C66FF867C}">
                  <a14:compatExt spid="_x0000_s35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38100</xdr:colOff>
      <xdr:row>25</xdr:row>
      <xdr:rowOff>76200</xdr:rowOff>
    </xdr:from>
    <xdr:to>
      <xdr:col>14</xdr:col>
      <xdr:colOff>114300</xdr:colOff>
      <xdr:row>27</xdr:row>
      <xdr:rowOff>0</xdr:rowOff>
    </xdr:to>
    <xdr:sp macro="" textlink="">
      <xdr:nvSpPr>
        <xdr:cNvPr id="57" name="Textfeld 56"/>
        <xdr:cNvSpPr txBox="1"/>
      </xdr:nvSpPr>
      <xdr:spPr>
        <a:xfrm>
          <a:off x="7486650" y="6076950"/>
          <a:ext cx="323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solidFill>
                <a:schemeClr val="bg1"/>
              </a:solidFill>
            </a:rPr>
            <a:t>C</a:t>
          </a:r>
        </a:p>
      </xdr:txBody>
    </xdr:sp>
    <xdr:clientData/>
  </xdr:twoCellAnchor>
  <xdr:twoCellAnchor>
    <xdr:from>
      <xdr:col>27</xdr:col>
      <xdr:colOff>219075</xdr:colOff>
      <xdr:row>4</xdr:row>
      <xdr:rowOff>9525</xdr:rowOff>
    </xdr:from>
    <xdr:to>
      <xdr:col>32</xdr:col>
      <xdr:colOff>238125</xdr:colOff>
      <xdr:row>5</xdr:row>
      <xdr:rowOff>9525</xdr:rowOff>
    </xdr:to>
    <xdr:sp macro="" textlink="">
      <xdr:nvSpPr>
        <xdr:cNvPr id="47" name="Rechteck 46">
          <a:hlinkClick xmlns:r="http://schemas.openxmlformats.org/officeDocument/2006/relationships" r:id="rId3"/>
        </xdr:cNvPr>
        <xdr:cNvSpPr/>
      </xdr:nvSpPr>
      <xdr:spPr>
        <a:xfrm>
          <a:off x="7705725" y="1619250"/>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25</xdr:col>
      <xdr:colOff>38101</xdr:colOff>
      <xdr:row>35</xdr:row>
      <xdr:rowOff>123825</xdr:rowOff>
    </xdr:from>
    <xdr:to>
      <xdr:col>33</xdr:col>
      <xdr:colOff>19051</xdr:colOff>
      <xdr:row>37</xdr:row>
      <xdr:rowOff>85725</xdr:rowOff>
    </xdr:to>
    <xdr:sp macro="" textlink="">
      <xdr:nvSpPr>
        <xdr:cNvPr id="50" name="Rechteck 49">
          <a:hlinkClick xmlns:r="http://schemas.openxmlformats.org/officeDocument/2006/relationships" r:id="rId4"/>
        </xdr:cNvPr>
        <xdr:cNvSpPr/>
      </xdr:nvSpPr>
      <xdr:spPr>
        <a:xfrm>
          <a:off x="7029451" y="7658100"/>
          <a:ext cx="1981200" cy="3429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17</xdr:col>
      <xdr:colOff>25401</xdr:colOff>
      <xdr:row>35</xdr:row>
      <xdr:rowOff>123825</xdr:rowOff>
    </xdr:from>
    <xdr:to>
      <xdr:col>24</xdr:col>
      <xdr:colOff>273051</xdr:colOff>
      <xdr:row>37</xdr:row>
      <xdr:rowOff>85725</xdr:rowOff>
    </xdr:to>
    <xdr:sp macro="" textlink="">
      <xdr:nvSpPr>
        <xdr:cNvPr id="51" name="Rechteck 50">
          <a:hlinkClick xmlns:r="http://schemas.openxmlformats.org/officeDocument/2006/relationships" r:id="rId5"/>
        </xdr:cNvPr>
        <xdr:cNvSpPr/>
      </xdr:nvSpPr>
      <xdr:spPr>
        <a:xfrm>
          <a:off x="4768851" y="7658100"/>
          <a:ext cx="1981200" cy="3429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xdr:col>
      <xdr:colOff>1</xdr:colOff>
      <xdr:row>35</xdr:row>
      <xdr:rowOff>123825</xdr:rowOff>
    </xdr:from>
    <xdr:to>
      <xdr:col>7</xdr:col>
      <xdr:colOff>228601</xdr:colOff>
      <xdr:row>37</xdr:row>
      <xdr:rowOff>85725</xdr:rowOff>
    </xdr:to>
    <xdr:sp macro="" textlink="">
      <xdr:nvSpPr>
        <xdr:cNvPr id="52" name="Rechteck 51">
          <a:hlinkClick xmlns:r="http://schemas.openxmlformats.org/officeDocument/2006/relationships" r:id="rId6"/>
        </xdr:cNvPr>
        <xdr:cNvSpPr/>
      </xdr:nvSpPr>
      <xdr:spPr>
        <a:xfrm>
          <a:off x="247651" y="7658100"/>
          <a:ext cx="1981200" cy="3429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12701</xdr:colOff>
      <xdr:row>35</xdr:row>
      <xdr:rowOff>123825</xdr:rowOff>
    </xdr:from>
    <xdr:to>
      <xdr:col>16</xdr:col>
      <xdr:colOff>260351</xdr:colOff>
      <xdr:row>37</xdr:row>
      <xdr:rowOff>85725</xdr:rowOff>
    </xdr:to>
    <xdr:sp macro="" textlink="">
      <xdr:nvSpPr>
        <xdr:cNvPr id="53" name="Rechteck 52">
          <a:hlinkClick xmlns:r="http://schemas.openxmlformats.org/officeDocument/2006/relationships" r:id="rId7"/>
        </xdr:cNvPr>
        <xdr:cNvSpPr/>
      </xdr:nvSpPr>
      <xdr:spPr>
        <a:xfrm>
          <a:off x="2508251" y="7658100"/>
          <a:ext cx="1981200" cy="3429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152401</xdr:colOff>
          <xdr:row>6</xdr:row>
          <xdr:rowOff>113074</xdr:rowOff>
        </xdr:from>
        <xdr:to>
          <xdr:col>33</xdr:col>
          <xdr:colOff>9525</xdr:colOff>
          <xdr:row>13</xdr:row>
          <xdr:rowOff>0</xdr:rowOff>
        </xdr:to>
        <xdr:pic>
          <xdr:nvPicPr>
            <xdr:cNvPr id="41" name="Grafik 40"/>
            <xdr:cNvPicPr>
              <a:picLocks noChangeAspect="1"/>
              <a:extLst>
                <a:ext uri="{84589F7E-364E-4C9E-8A38-B11213B215E9}">
                  <a14:cameraTool cellRange="FOTO" spid="_x0000_s4043"/>
                </a:ext>
              </a:extLst>
            </xdr:cNvPicPr>
          </xdr:nvPicPr>
          <xdr:blipFill>
            <a:blip xmlns:r="http://schemas.openxmlformats.org/officeDocument/2006/relationships" r:embed="rId1"/>
            <a:stretch>
              <a:fillRect/>
            </a:stretch>
          </xdr:blipFill>
          <xdr:spPr>
            <a:xfrm>
              <a:off x="6591301" y="2113324"/>
              <a:ext cx="1590674" cy="1220426"/>
            </a:xfrm>
            <a:prstGeom prst="rect">
              <a:avLst/>
            </a:prstGeom>
          </xdr:spPr>
        </xdr:pic>
        <xdr:clientData/>
      </xdr:twoCellAnchor>
    </mc:Choice>
    <mc:Fallback/>
  </mc:AlternateContent>
  <xdr:twoCellAnchor editAs="oneCell">
    <xdr:from>
      <xdr:col>1</xdr:col>
      <xdr:colOff>57150</xdr:colOff>
      <xdr:row>6</xdr:row>
      <xdr:rowOff>161925</xdr:rowOff>
    </xdr:from>
    <xdr:to>
      <xdr:col>6</xdr:col>
      <xdr:colOff>11624</xdr:colOff>
      <xdr:row>13</xdr:row>
      <xdr:rowOff>94985</xdr:rowOff>
    </xdr:to>
    <xdr:pic>
      <xdr:nvPicPr>
        <xdr:cNvPr id="4" name="Grafik 3"/>
        <xdr:cNvPicPr>
          <a:picLocks noChangeAspect="1"/>
        </xdr:cNvPicPr>
      </xdr:nvPicPr>
      <xdr:blipFill>
        <a:blip xmlns:r="http://schemas.openxmlformats.org/officeDocument/2006/relationships" r:embed="rId2"/>
        <a:stretch>
          <a:fillRect/>
        </a:stretch>
      </xdr:blipFill>
      <xdr:spPr>
        <a:xfrm>
          <a:off x="304800" y="2162175"/>
          <a:ext cx="1192724" cy="1266560"/>
        </a:xfrm>
        <a:prstGeom prst="rect">
          <a:avLst/>
        </a:prstGeom>
      </xdr:spPr>
    </xdr:pic>
    <xdr:clientData/>
  </xdr:twoCellAnchor>
  <xdr:twoCellAnchor>
    <xdr:from>
      <xdr:col>27</xdr:col>
      <xdr:colOff>238125</xdr:colOff>
      <xdr:row>4</xdr:row>
      <xdr:rowOff>9525</xdr:rowOff>
    </xdr:from>
    <xdr:to>
      <xdr:col>33</xdr:col>
      <xdr:colOff>19050</xdr:colOff>
      <xdr:row>5</xdr:row>
      <xdr:rowOff>9525</xdr:rowOff>
    </xdr:to>
    <xdr:sp macro="" textlink="">
      <xdr:nvSpPr>
        <xdr:cNvPr id="9" name="Rechteck 8">
          <a:hlinkClick xmlns:r="http://schemas.openxmlformats.org/officeDocument/2006/relationships" r:id="rId3"/>
        </xdr:cNvPr>
        <xdr:cNvSpPr/>
      </xdr:nvSpPr>
      <xdr:spPr>
        <a:xfrm>
          <a:off x="6924675" y="1619250"/>
          <a:ext cx="1266825"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xdr:col>
      <xdr:colOff>9525</xdr:colOff>
      <xdr:row>1</xdr:row>
      <xdr:rowOff>9525</xdr:rowOff>
    </xdr:from>
    <xdr:to>
      <xdr:col>32</xdr:col>
      <xdr:colOff>238125</xdr:colOff>
      <xdr:row>2</xdr:row>
      <xdr:rowOff>11367</xdr:rowOff>
    </xdr:to>
    <xdr:grpSp>
      <xdr:nvGrpSpPr>
        <xdr:cNvPr id="18" name="Gruppieren 17"/>
        <xdr:cNvGrpSpPr/>
      </xdr:nvGrpSpPr>
      <xdr:grpSpPr>
        <a:xfrm>
          <a:off x="257175" y="200025"/>
          <a:ext cx="7905750" cy="1040067"/>
          <a:chOff x="200025" y="95250"/>
          <a:chExt cx="7905750" cy="1040067"/>
        </a:xfrm>
      </xdr:grpSpPr>
      <xdr:pic>
        <xdr:nvPicPr>
          <xdr:cNvPr id="19" name="Grafik 1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20" name="Grafik 1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21" name="Textfeld 20"/>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xdr:row>
      <xdr:rowOff>9525</xdr:rowOff>
    </xdr:from>
    <xdr:to>
      <xdr:col>32</xdr:col>
      <xdr:colOff>238125</xdr:colOff>
      <xdr:row>2</xdr:row>
      <xdr:rowOff>11367</xdr:rowOff>
    </xdr:to>
    <xdr:grpSp>
      <xdr:nvGrpSpPr>
        <xdr:cNvPr id="6" name="Gruppieren 5"/>
        <xdr:cNvGrpSpPr/>
      </xdr:nvGrpSpPr>
      <xdr:grpSpPr>
        <a:xfrm>
          <a:off x="257175" y="200025"/>
          <a:ext cx="7905750" cy="1040067"/>
          <a:chOff x="200025" y="95250"/>
          <a:chExt cx="7905750" cy="1040067"/>
        </a:xfrm>
      </xdr:grpSpPr>
      <xdr:pic>
        <xdr:nvPicPr>
          <xdr:cNvPr id="7" name="Grafik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8" name="Grafik 7"/>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9" name="Textfeld 8"/>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xdr:twoCellAnchor editAs="oneCell">
    <xdr:from>
      <xdr:col>1</xdr:col>
      <xdr:colOff>57150</xdr:colOff>
      <xdr:row>6</xdr:row>
      <xdr:rowOff>161925</xdr:rowOff>
    </xdr:from>
    <xdr:to>
      <xdr:col>6</xdr:col>
      <xdr:colOff>11624</xdr:colOff>
      <xdr:row>13</xdr:row>
      <xdr:rowOff>94985</xdr:rowOff>
    </xdr:to>
    <xdr:pic>
      <xdr:nvPicPr>
        <xdr:cNvPr id="12" name="Grafik 11"/>
        <xdr:cNvPicPr>
          <a:picLocks noChangeAspect="1"/>
        </xdr:cNvPicPr>
      </xdr:nvPicPr>
      <xdr:blipFill>
        <a:blip xmlns:r="http://schemas.openxmlformats.org/officeDocument/2006/relationships" r:embed="rId2"/>
        <a:stretch>
          <a:fillRect/>
        </a:stretch>
      </xdr:blipFill>
      <xdr:spPr>
        <a:xfrm>
          <a:off x="304800" y="2162175"/>
          <a:ext cx="1192724" cy="12665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95250</xdr:colOff>
          <xdr:row>6</xdr:row>
          <xdr:rowOff>114300</xdr:rowOff>
        </xdr:from>
        <xdr:to>
          <xdr:col>32</xdr:col>
          <xdr:colOff>200024</xdr:colOff>
          <xdr:row>13</xdr:row>
          <xdr:rowOff>1226</xdr:rowOff>
        </xdr:to>
        <xdr:pic>
          <xdr:nvPicPr>
            <xdr:cNvPr id="13" name="Grafik 12"/>
            <xdr:cNvPicPr>
              <a:picLocks noChangeAspect="1"/>
              <a:extLst>
                <a:ext uri="{84589F7E-364E-4C9E-8A38-B11213B215E9}">
                  <a14:cameraTool cellRange="FOTO" spid="_x0000_s5072"/>
                </a:ext>
              </a:extLst>
            </xdr:cNvPicPr>
          </xdr:nvPicPr>
          <xdr:blipFill>
            <a:blip xmlns:r="http://schemas.openxmlformats.org/officeDocument/2006/relationships" r:embed="rId3"/>
            <a:stretch>
              <a:fillRect/>
            </a:stretch>
          </xdr:blipFill>
          <xdr:spPr>
            <a:xfrm>
              <a:off x="6534150" y="2105025"/>
              <a:ext cx="1590674" cy="1220426"/>
            </a:xfrm>
            <a:prstGeom prst="rect">
              <a:avLst/>
            </a:prstGeom>
          </xdr:spPr>
        </xdr:pic>
        <xdr:clientData/>
      </xdr:twoCellAnchor>
    </mc:Choice>
    <mc:Fallback/>
  </mc:AlternateContent>
  <xdr:twoCellAnchor>
    <xdr:from>
      <xdr:col>27</xdr:col>
      <xdr:colOff>219075</xdr:colOff>
      <xdr:row>4</xdr:row>
      <xdr:rowOff>9525</xdr:rowOff>
    </xdr:from>
    <xdr:to>
      <xdr:col>33</xdr:col>
      <xdr:colOff>9525</xdr:colOff>
      <xdr:row>5</xdr:row>
      <xdr:rowOff>9525</xdr:rowOff>
    </xdr:to>
    <xdr:sp macro="" textlink="">
      <xdr:nvSpPr>
        <xdr:cNvPr id="10" name="Rechteck 9">
          <a:hlinkClick xmlns:r="http://schemas.openxmlformats.org/officeDocument/2006/relationships" r:id="rId4"/>
        </xdr:cNvPr>
        <xdr:cNvSpPr/>
      </xdr:nvSpPr>
      <xdr:spPr>
        <a:xfrm>
          <a:off x="6905625" y="1619250"/>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1</xdr:row>
      <xdr:rowOff>9525</xdr:rowOff>
    </xdr:from>
    <xdr:to>
      <xdr:col>32</xdr:col>
      <xdr:colOff>238125</xdr:colOff>
      <xdr:row>2</xdr:row>
      <xdr:rowOff>11367</xdr:rowOff>
    </xdr:to>
    <xdr:grpSp>
      <xdr:nvGrpSpPr>
        <xdr:cNvPr id="2" name="Gruppieren 1"/>
        <xdr:cNvGrpSpPr/>
      </xdr:nvGrpSpPr>
      <xdr:grpSpPr>
        <a:xfrm>
          <a:off x="257175" y="200025"/>
          <a:ext cx="7905750" cy="1040067"/>
          <a:chOff x="200025" y="95250"/>
          <a:chExt cx="7905750" cy="1040067"/>
        </a:xfrm>
      </xdr:grpSpPr>
      <xdr:pic>
        <xdr:nvPicPr>
          <xdr:cNvPr id="3" name="Grafik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1971"/>
          <a:stretch/>
        </xdr:blipFill>
        <xdr:spPr>
          <a:xfrm>
            <a:off x="200025" y="95250"/>
            <a:ext cx="7905750" cy="1040067"/>
          </a:xfrm>
          <a:prstGeom prst="rect">
            <a:avLst/>
          </a:prstGeom>
        </xdr:spPr>
      </xdr:pic>
      <xdr:pic>
        <xdr:nvPicPr>
          <xdr:cNvPr id="4" name="Grafik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631" t="48304" r="75415" b="40330"/>
          <a:stretch/>
        </xdr:blipFill>
        <xdr:spPr>
          <a:xfrm>
            <a:off x="2437209" y="617934"/>
            <a:ext cx="1239163" cy="439341"/>
          </a:xfrm>
          <a:prstGeom prst="rect">
            <a:avLst/>
          </a:prstGeom>
        </xdr:spPr>
      </xdr:pic>
      <xdr:sp macro="" textlink="">
        <xdr:nvSpPr>
          <xdr:cNvPr id="5" name="Textfeld 4"/>
          <xdr:cNvSpPr txBox="1"/>
        </xdr:nvSpPr>
        <xdr:spPr>
          <a:xfrm>
            <a:off x="2505074" y="640562"/>
            <a:ext cx="2238375" cy="48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12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p>
        </xdr:txBody>
      </xdr:sp>
    </xdr:grpSp>
    <xdr:clientData/>
  </xdr:twoCellAnchor>
  <xdr:twoCellAnchor editAs="oneCell">
    <xdr:from>
      <xdr:col>1</xdr:col>
      <xdr:colOff>57150</xdr:colOff>
      <xdr:row>6</xdr:row>
      <xdr:rowOff>161925</xdr:rowOff>
    </xdr:from>
    <xdr:to>
      <xdr:col>6</xdr:col>
      <xdr:colOff>11624</xdr:colOff>
      <xdr:row>13</xdr:row>
      <xdr:rowOff>94985</xdr:rowOff>
    </xdr:to>
    <xdr:pic>
      <xdr:nvPicPr>
        <xdr:cNvPr id="7" name="Grafik 6"/>
        <xdr:cNvPicPr>
          <a:picLocks noChangeAspect="1"/>
        </xdr:cNvPicPr>
      </xdr:nvPicPr>
      <xdr:blipFill>
        <a:blip xmlns:r="http://schemas.openxmlformats.org/officeDocument/2006/relationships" r:embed="rId2"/>
        <a:stretch>
          <a:fillRect/>
        </a:stretch>
      </xdr:blipFill>
      <xdr:spPr>
        <a:xfrm>
          <a:off x="304800" y="2152650"/>
          <a:ext cx="1192724" cy="12665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26918</xdr:colOff>
          <xdr:row>15</xdr:row>
          <xdr:rowOff>142874</xdr:rowOff>
        </xdr:from>
        <xdr:to>
          <xdr:col>28</xdr:col>
          <xdr:colOff>231913</xdr:colOff>
          <xdr:row>52</xdr:row>
          <xdr:rowOff>28081</xdr:rowOff>
        </xdr:to>
        <xdr:pic>
          <xdr:nvPicPr>
            <xdr:cNvPr id="9" name="Grafik 8"/>
            <xdr:cNvPicPr>
              <a:picLocks noChangeAspect="1"/>
              <a:extLst>
                <a:ext uri="{84589F7E-364E-4C9E-8A38-B11213B215E9}">
                  <a14:cameraTool cellRange="SKIZZE3" spid="_x0000_s74988"/>
                </a:ext>
              </a:extLst>
            </xdr:cNvPicPr>
          </xdr:nvPicPr>
          <xdr:blipFill rotWithShape="1">
            <a:blip xmlns:r="http://schemas.openxmlformats.org/officeDocument/2006/relationships" r:embed="rId3"/>
            <a:srcRect l="1773" t="1224" r="5085" b="1500"/>
            <a:stretch>
              <a:fillRect/>
            </a:stretch>
          </xdr:blipFill>
          <xdr:spPr>
            <a:xfrm>
              <a:off x="1269309" y="3853483"/>
              <a:ext cx="5919995" cy="6933707"/>
            </a:xfrm>
            <a:prstGeom prst="rect">
              <a:avLst/>
            </a:prstGeom>
            <a:ln w="19050">
              <a:solidFill>
                <a:schemeClr val="bg1">
                  <a:lumMod val="85000"/>
                </a:schemeClr>
              </a:solid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xdr:row>
          <xdr:rowOff>104775</xdr:rowOff>
        </xdr:from>
        <xdr:to>
          <xdr:col>32</xdr:col>
          <xdr:colOff>209549</xdr:colOff>
          <xdr:row>12</xdr:row>
          <xdr:rowOff>182201</xdr:rowOff>
        </xdr:to>
        <xdr:pic>
          <xdr:nvPicPr>
            <xdr:cNvPr id="10" name="Grafik 9"/>
            <xdr:cNvPicPr>
              <a:picLocks noChangeAspect="1"/>
              <a:extLst>
                <a:ext uri="{84589F7E-364E-4C9E-8A38-B11213B215E9}">
                  <a14:cameraTool cellRange="FOTO" spid="_x0000_s74989"/>
                </a:ext>
              </a:extLst>
            </xdr:cNvPicPr>
          </xdr:nvPicPr>
          <xdr:blipFill>
            <a:blip xmlns:r="http://schemas.openxmlformats.org/officeDocument/2006/relationships" r:embed="rId4"/>
            <a:stretch>
              <a:fillRect/>
            </a:stretch>
          </xdr:blipFill>
          <xdr:spPr>
            <a:xfrm>
              <a:off x="6543675" y="2105025"/>
              <a:ext cx="1590674" cy="1220426"/>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29787</xdr:colOff>
          <xdr:row>57</xdr:row>
          <xdr:rowOff>74543</xdr:rowOff>
        </xdr:from>
        <xdr:to>
          <xdr:col>28</xdr:col>
          <xdr:colOff>231913</xdr:colOff>
          <xdr:row>94</xdr:row>
          <xdr:rowOff>142875</xdr:rowOff>
        </xdr:to>
        <xdr:pic>
          <xdr:nvPicPr>
            <xdr:cNvPr id="11" name="Grafik 10"/>
            <xdr:cNvPicPr>
              <a:picLocks noChangeAspect="1"/>
              <a:extLst>
                <a:ext uri="{84589F7E-364E-4C9E-8A38-B11213B215E9}">
                  <a14:cameraTool cellRange="SKIZZE" spid="_x0000_s74990"/>
                </a:ext>
              </a:extLst>
            </xdr:cNvPicPr>
          </xdr:nvPicPr>
          <xdr:blipFill rotWithShape="1">
            <a:blip xmlns:r="http://schemas.openxmlformats.org/officeDocument/2006/relationships" r:embed="rId5"/>
            <a:srcRect l="867" t="702" r="916" b="397"/>
            <a:stretch>
              <a:fillRect/>
            </a:stretch>
          </xdr:blipFill>
          <xdr:spPr>
            <a:xfrm>
              <a:off x="1272178" y="11794434"/>
              <a:ext cx="5917126" cy="7116832"/>
            </a:xfrm>
            <a:prstGeom prst="rect">
              <a:avLst/>
            </a:prstGeom>
            <a:ln w="19050">
              <a:solidFill>
                <a:schemeClr val="bg1">
                  <a:lumMod val="85000"/>
                </a:schemeClr>
              </a:solid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6715</xdr:colOff>
          <xdr:row>100</xdr:row>
          <xdr:rowOff>105899</xdr:rowOff>
        </xdr:from>
        <xdr:to>
          <xdr:col>28</xdr:col>
          <xdr:colOff>208958</xdr:colOff>
          <xdr:row>114</xdr:row>
          <xdr:rowOff>108857</xdr:rowOff>
        </xdr:to>
        <xdr:pic>
          <xdr:nvPicPr>
            <xdr:cNvPr id="12" name="Grafik 11"/>
            <xdr:cNvPicPr>
              <a:picLocks noChangeAspect="1"/>
              <a:extLst>
                <a:ext uri="{84589F7E-364E-4C9E-8A38-B11213B215E9}">
                  <a14:cameraTool cellRange="SKIZZE4" spid="_x0000_s74991"/>
                </a:ext>
              </a:extLst>
            </xdr:cNvPicPr>
          </xdr:nvPicPr>
          <xdr:blipFill rotWithShape="1">
            <a:blip xmlns:r="http://schemas.openxmlformats.org/officeDocument/2006/relationships" r:embed="rId6"/>
            <a:srcRect l="871" t="42" r="488" b="400"/>
            <a:stretch>
              <a:fillRect/>
            </a:stretch>
          </xdr:blipFill>
          <xdr:spPr>
            <a:xfrm>
              <a:off x="1231358" y="20040363"/>
              <a:ext cx="5835600" cy="2669958"/>
            </a:xfrm>
            <a:prstGeom prst="rect">
              <a:avLst/>
            </a:prstGeom>
            <a:ln w="19050">
              <a:solidFill>
                <a:schemeClr val="bg1">
                  <a:lumMod val="85000"/>
                </a:schemeClr>
              </a:solidFill>
            </a:ln>
          </xdr:spPr>
        </xdr:pic>
        <xdr:clientData/>
      </xdr:twoCellAnchor>
    </mc:Choice>
    <mc:Fallback/>
  </mc:AlternateContent>
  <xdr:twoCellAnchor>
    <xdr:from>
      <xdr:col>27</xdr:col>
      <xdr:colOff>209550</xdr:colOff>
      <xdr:row>4</xdr:row>
      <xdr:rowOff>9525</xdr:rowOff>
    </xdr:from>
    <xdr:to>
      <xdr:col>33</xdr:col>
      <xdr:colOff>0</xdr:colOff>
      <xdr:row>5</xdr:row>
      <xdr:rowOff>9525</xdr:rowOff>
    </xdr:to>
    <xdr:sp macro="" textlink="">
      <xdr:nvSpPr>
        <xdr:cNvPr id="13" name="Rechteck 12">
          <a:hlinkClick xmlns:r="http://schemas.openxmlformats.org/officeDocument/2006/relationships" r:id="rId7"/>
        </xdr:cNvPr>
        <xdr:cNvSpPr/>
      </xdr:nvSpPr>
      <xdr:spPr>
        <a:xfrm>
          <a:off x="6896100" y="1619250"/>
          <a:ext cx="1276350" cy="1905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232172</xdr:colOff>
      <xdr:row>1</xdr:row>
      <xdr:rowOff>1</xdr:rowOff>
    </xdr:from>
    <xdr:to>
      <xdr:col>20</xdr:col>
      <xdr:colOff>89297</xdr:colOff>
      <xdr:row>2</xdr:row>
      <xdr:rowOff>21312</xdr:rowOff>
    </xdr:to>
    <xdr:pic>
      <xdr:nvPicPr>
        <xdr:cNvPr id="9" name="Grafik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172" y="154782"/>
          <a:ext cx="8233172" cy="628530"/>
        </a:xfrm>
        <a:prstGeom prst="rect">
          <a:avLst/>
        </a:prstGeom>
      </xdr:spPr>
    </xdr:pic>
    <xdr:clientData/>
  </xdr:twoCellAnchor>
  <xdr:twoCellAnchor editAs="oneCell">
    <xdr:from>
      <xdr:col>7</xdr:col>
      <xdr:colOff>440531</xdr:colOff>
      <xdr:row>1</xdr:row>
      <xdr:rowOff>357187</xdr:rowOff>
    </xdr:from>
    <xdr:to>
      <xdr:col>8</xdr:col>
      <xdr:colOff>208360</xdr:colOff>
      <xdr:row>1</xdr:row>
      <xdr:rowOff>589360</xdr:rowOff>
    </xdr:to>
    <xdr:pic>
      <xdr:nvPicPr>
        <xdr:cNvPr id="12" name="Grafik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631" t="48304" r="75415" b="40330"/>
        <a:stretch/>
      </xdr:blipFill>
      <xdr:spPr>
        <a:xfrm>
          <a:off x="1601390" y="511968"/>
          <a:ext cx="654845" cy="232173"/>
        </a:xfrm>
        <a:prstGeom prst="rect">
          <a:avLst/>
        </a:prstGeom>
      </xdr:spPr>
    </xdr:pic>
    <xdr:clientData/>
  </xdr:twoCellAnchor>
  <xdr:twoCellAnchor editAs="oneCell">
    <xdr:from>
      <xdr:col>18</xdr:col>
      <xdr:colOff>7144</xdr:colOff>
      <xdr:row>1</xdr:row>
      <xdr:rowOff>1</xdr:rowOff>
    </xdr:from>
    <xdr:to>
      <xdr:col>22</xdr:col>
      <xdr:colOff>0</xdr:colOff>
      <xdr:row>2</xdr:row>
      <xdr:rowOff>21312</xdr:rowOff>
    </xdr:to>
    <xdr:pic>
      <xdr:nvPicPr>
        <xdr:cNvPr id="19" name="Grafik 18"/>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873" r="5510"/>
        <a:stretch/>
      </xdr:blipFill>
      <xdr:spPr>
        <a:xfrm>
          <a:off x="7448550" y="154782"/>
          <a:ext cx="2022872" cy="6285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901306</xdr:colOff>
          <xdr:row>28</xdr:row>
          <xdr:rowOff>134441</xdr:rowOff>
        </xdr:from>
        <xdr:to>
          <xdr:col>4</xdr:col>
          <xdr:colOff>272655</xdr:colOff>
          <xdr:row>40</xdr:row>
          <xdr:rowOff>7133</xdr:rowOff>
        </xdr:to>
        <xdr:pic>
          <xdr:nvPicPr>
            <xdr:cNvPr id="27" name="Grafik 26"/>
            <xdr:cNvPicPr>
              <a:picLocks noChangeAspect="1"/>
              <a:extLst>
                <a:ext uri="{84589F7E-364E-4C9E-8A38-B11213B215E9}">
                  <a14:cameraTool cellRange="MEINEBILDERN" spid="_x0000_s1966"/>
                </a:ext>
              </a:extLst>
            </xdr:cNvPicPr>
          </xdr:nvPicPr>
          <xdr:blipFill>
            <a:blip xmlns:r="http://schemas.openxmlformats.org/officeDocument/2006/relationships" r:embed="rId2"/>
            <a:stretch>
              <a:fillRect/>
            </a:stretch>
          </xdr:blipFill>
          <xdr:spPr>
            <a:xfrm>
              <a:off x="901306" y="4715966"/>
              <a:ext cx="2752724" cy="1701492"/>
            </a:xfrm>
            <a:prstGeom prst="rect">
              <a:avLst/>
            </a:prstGeom>
            <a:ln w="19050">
              <a:solidFill>
                <a:schemeClr val="bg1">
                  <a:lumMod val="85000"/>
                </a:schemeClr>
              </a:solidFill>
            </a:ln>
          </xdr:spPr>
        </xdr:pic>
        <xdr:clientData/>
      </xdr:twoCellAnchor>
    </mc:Choice>
    <mc:Fallback/>
  </mc:AlternateContent>
  <xdr:twoCellAnchor>
    <xdr:from>
      <xdr:col>7</xdr:col>
      <xdr:colOff>434579</xdr:colOff>
      <xdr:row>1</xdr:row>
      <xdr:rowOff>297660</xdr:rowOff>
    </xdr:from>
    <xdr:to>
      <xdr:col>8</xdr:col>
      <xdr:colOff>547688</xdr:colOff>
      <xdr:row>2</xdr:row>
      <xdr:rowOff>77391</xdr:rowOff>
    </xdr:to>
    <xdr:sp macro="" textlink="">
      <xdr:nvSpPr>
        <xdr:cNvPr id="11" name="Textfeld 10"/>
        <xdr:cNvSpPr txBox="1"/>
      </xdr:nvSpPr>
      <xdr:spPr>
        <a:xfrm>
          <a:off x="1595438" y="452441"/>
          <a:ext cx="1000125" cy="38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8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r>
            <a:rPr lang="de-AT" sz="800" b="0">
              <a:solidFill>
                <a:schemeClr val="bg1"/>
              </a:solidFill>
              <a:latin typeface="Verdana" panose="020B0604030504040204" pitchFamily="34" charset="0"/>
              <a:ea typeface="Verdana" panose="020B0604030504040204" pitchFamily="34" charset="0"/>
              <a:cs typeface="Verdana" panose="020B0604030504040204" pitchFamily="34" charset="0"/>
            </a:rPr>
            <a:t> </a:t>
          </a:r>
        </a:p>
        <a:p>
          <a:r>
            <a:rPr lang="de-AT" sz="800" b="0">
              <a:solidFill>
                <a:schemeClr val="bg1"/>
              </a:solidFill>
              <a:latin typeface="Verdana" panose="020B0604030504040204" pitchFamily="34" charset="0"/>
              <a:ea typeface="Verdana" panose="020B0604030504040204" pitchFamily="34" charset="0"/>
              <a:cs typeface="Verdana" panose="020B0604030504040204" pitchFamily="34" charset="0"/>
            </a:rPr>
            <a:t>SELECTOR</a:t>
          </a:r>
          <a:r>
            <a:rPr lang="de-AT" sz="8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de-AT" sz="800" b="0">
              <a:solidFill>
                <a:schemeClr val="bg1"/>
              </a:solidFill>
              <a:latin typeface="Verdana" panose="020B0604030504040204" pitchFamily="34" charset="0"/>
              <a:ea typeface="Verdana" panose="020B0604030504040204" pitchFamily="34" charset="0"/>
              <a:cs typeface="Verdana" panose="020B0604030504040204" pitchFamily="34" charset="0"/>
            </a:rPr>
            <a:t>V2.2</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469231</xdr:colOff>
      <xdr:row>15</xdr:row>
      <xdr:rowOff>53136</xdr:rowOff>
    </xdr:from>
    <xdr:to>
      <xdr:col>7</xdr:col>
      <xdr:colOff>860258</xdr:colOff>
      <xdr:row>16</xdr:row>
      <xdr:rowOff>71187</xdr:rowOff>
    </xdr:to>
    <xdr:cxnSp macro="">
      <xdr:nvCxnSpPr>
        <xdr:cNvPr id="14" name="Gerade Verbindung 13"/>
        <xdr:cNvCxnSpPr/>
      </xdr:nvCxnSpPr>
      <xdr:spPr>
        <a:xfrm flipH="1" flipV="1">
          <a:off x="707356" y="2447925"/>
          <a:ext cx="391027" cy="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471237</xdr:colOff>
      <xdr:row>13</xdr:row>
      <xdr:rowOff>60155</xdr:rowOff>
    </xdr:from>
    <xdr:to>
      <xdr:col>7</xdr:col>
      <xdr:colOff>862264</xdr:colOff>
      <xdr:row>14</xdr:row>
      <xdr:rowOff>78206</xdr:rowOff>
    </xdr:to>
    <xdr:cxnSp macro="">
      <xdr:nvCxnSpPr>
        <xdr:cNvPr id="15" name="Gerade Verbindung 14"/>
        <xdr:cNvCxnSpPr/>
      </xdr:nvCxnSpPr>
      <xdr:spPr>
        <a:xfrm flipH="1" flipV="1">
          <a:off x="709362" y="2447925"/>
          <a:ext cx="391027" cy="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232173</xdr:colOff>
      <xdr:row>1</xdr:row>
      <xdr:rowOff>1</xdr:rowOff>
    </xdr:from>
    <xdr:to>
      <xdr:col>21</xdr:col>
      <xdr:colOff>0</xdr:colOff>
      <xdr:row>2</xdr:row>
      <xdr:rowOff>21312</xdr:rowOff>
    </xdr:to>
    <xdr:pic>
      <xdr:nvPicPr>
        <xdr:cNvPr id="17" name="Grafik 1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089"/>
        <a:stretch/>
      </xdr:blipFill>
      <xdr:spPr>
        <a:xfrm>
          <a:off x="232173" y="154782"/>
          <a:ext cx="8965405" cy="628530"/>
        </a:xfrm>
        <a:prstGeom prst="rect">
          <a:avLst/>
        </a:prstGeom>
      </xdr:spPr>
    </xdr:pic>
    <xdr:clientData/>
  </xdr:twoCellAnchor>
  <xdr:twoCellAnchor>
    <xdr:from>
      <xdr:col>10</xdr:col>
      <xdr:colOff>345265</xdr:colOff>
      <xdr:row>1</xdr:row>
      <xdr:rowOff>279797</xdr:rowOff>
    </xdr:from>
    <xdr:to>
      <xdr:col>13</xdr:col>
      <xdr:colOff>1166796</xdr:colOff>
      <xdr:row>2</xdr:row>
      <xdr:rowOff>77390</xdr:rowOff>
    </xdr:to>
    <xdr:sp macro="" textlink="">
      <xdr:nvSpPr>
        <xdr:cNvPr id="18" name="Textfeld 17"/>
        <xdr:cNvSpPr txBox="1"/>
      </xdr:nvSpPr>
      <xdr:spPr>
        <a:xfrm>
          <a:off x="2661031" y="434578"/>
          <a:ext cx="1762124" cy="40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800" b="1">
              <a:solidFill>
                <a:schemeClr val="bg1"/>
              </a:solidFill>
              <a:latin typeface="Verdana" panose="020B0604030504040204" pitchFamily="34" charset="0"/>
              <a:ea typeface="Verdana" panose="020B0604030504040204" pitchFamily="34" charset="0"/>
              <a:cs typeface="Verdana" panose="020B0604030504040204" pitchFamily="34" charset="0"/>
            </a:rPr>
            <a:t>VIONARO</a:t>
          </a:r>
        </a:p>
      </xdr:txBody>
    </xdr:sp>
    <xdr:clientData/>
  </xdr:twoCellAnchor>
  <xdr:twoCellAnchor>
    <xdr:from>
      <xdr:col>19</xdr:col>
      <xdr:colOff>29769</xdr:colOff>
      <xdr:row>25</xdr:row>
      <xdr:rowOff>139305</xdr:rowOff>
    </xdr:from>
    <xdr:to>
      <xdr:col>20</xdr:col>
      <xdr:colOff>88644</xdr:colOff>
      <xdr:row>28</xdr:row>
      <xdr:rowOff>5954</xdr:rowOff>
    </xdr:to>
    <xdr:sp macro="[0]!fühBISstü" textlink="">
      <xdr:nvSpPr>
        <xdr:cNvPr id="20" name="Pfeil nach rechts 19"/>
        <xdr:cNvSpPr/>
      </xdr:nvSpPr>
      <xdr:spPr>
        <a:xfrm>
          <a:off x="7750972" y="3723086"/>
          <a:ext cx="1440000" cy="295274"/>
        </a:xfrm>
        <a:prstGeom prst="rightArrow">
          <a:avLst/>
        </a:prstGeom>
        <a:solidFill>
          <a:srgbClr val="008000">
            <a:alpha val="5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19</xdr:col>
      <xdr:colOff>23816</xdr:colOff>
      <xdr:row>28</xdr:row>
      <xdr:rowOff>79772</xdr:rowOff>
    </xdr:from>
    <xdr:to>
      <xdr:col>20</xdr:col>
      <xdr:colOff>82691</xdr:colOff>
      <xdr:row>30</xdr:row>
      <xdr:rowOff>89296</xdr:rowOff>
    </xdr:to>
    <xdr:sp macro="[0]!fühBISzus" textlink="">
      <xdr:nvSpPr>
        <xdr:cNvPr id="33" name="Pfeil nach rechts 32"/>
        <xdr:cNvSpPr/>
      </xdr:nvSpPr>
      <xdr:spPr>
        <a:xfrm>
          <a:off x="7745019" y="4092178"/>
          <a:ext cx="1440000" cy="319087"/>
        </a:xfrm>
        <a:prstGeom prst="rightArrow">
          <a:avLst/>
        </a:prstGeom>
        <a:solidFill>
          <a:srgbClr val="0070C0">
            <a:alpha val="5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mc:AlternateContent xmlns:mc="http://schemas.openxmlformats.org/markup-compatibility/2006">
    <mc:Choice xmlns:a14="http://schemas.microsoft.com/office/drawing/2010/main" Requires="a14">
      <xdr:twoCellAnchor editAs="oneCell">
        <xdr:from>
          <xdr:col>11</xdr:col>
          <xdr:colOff>47627</xdr:colOff>
          <xdr:row>2</xdr:row>
          <xdr:rowOff>53578</xdr:rowOff>
        </xdr:from>
        <xdr:to>
          <xdr:col>14</xdr:col>
          <xdr:colOff>3713</xdr:colOff>
          <xdr:row>11</xdr:row>
          <xdr:rowOff>114729</xdr:rowOff>
        </xdr:to>
        <xdr:pic>
          <xdr:nvPicPr>
            <xdr:cNvPr id="21" name="Grafik 20"/>
            <xdr:cNvPicPr>
              <a:picLocks noChangeAspect="1"/>
              <a:extLst>
                <a:ext uri="{84589F7E-364E-4C9E-8A38-B11213B215E9}">
                  <a14:cameraTool cellRange="FOTO" spid="_x0000_s63918"/>
                </a:ext>
              </a:extLst>
            </xdr:cNvPicPr>
          </xdr:nvPicPr>
          <xdr:blipFill>
            <a:blip xmlns:r="http://schemas.openxmlformats.org/officeDocument/2006/relationships" r:embed="rId2"/>
            <a:stretch>
              <a:fillRect/>
            </a:stretch>
          </xdr:blipFill>
          <xdr:spPr>
            <a:xfrm>
              <a:off x="2946799" y="815578"/>
              <a:ext cx="1920617" cy="1454182"/>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53573</xdr:colOff>
          <xdr:row>10</xdr:row>
          <xdr:rowOff>131194</xdr:rowOff>
        </xdr:from>
        <xdr:to>
          <xdr:col>11</xdr:col>
          <xdr:colOff>47620</xdr:colOff>
          <xdr:row>25</xdr:row>
          <xdr:rowOff>94146</xdr:rowOff>
        </xdr:to>
        <xdr:pic>
          <xdr:nvPicPr>
            <xdr:cNvPr id="23" name="Grafik 22"/>
            <xdr:cNvPicPr>
              <a:picLocks noChangeAspect="1"/>
              <a:extLst>
                <a:ext uri="{84589F7E-364E-4C9E-8A38-B11213B215E9}">
                  <a14:cameraTool cellRange="SKIZZE" spid="_x0000_s63919"/>
                </a:ext>
              </a:extLst>
            </xdr:cNvPicPr>
          </xdr:nvPicPr>
          <xdr:blipFill>
            <a:blip xmlns:r="http://schemas.openxmlformats.org/officeDocument/2006/relationships" r:embed="rId3"/>
            <a:stretch>
              <a:fillRect/>
            </a:stretch>
          </xdr:blipFill>
          <xdr:spPr>
            <a:xfrm>
              <a:off x="529823" y="2131444"/>
              <a:ext cx="2416969" cy="1534577"/>
            </a:xfrm>
            <a:prstGeom prst="rect">
              <a:avLst/>
            </a:prstGeom>
          </xdr:spPr>
        </xdr:pic>
        <xdr:clientData/>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 Type="http://schemas.openxmlformats.org/officeDocument/2006/relationships/vmlDrawing" Target="../drawings/vmlDrawing4.v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2" Type="http://schemas.openxmlformats.org/officeDocument/2006/relationships/drawing" Target="../drawings/drawing4.xml"/><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5.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trlProp" Target="../ctrlProps/ctrlProp45.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B2:I16"/>
  <sheetViews>
    <sheetView showGridLines="0" showRowColHeaders="0" workbookViewId="0">
      <selection activeCell="I29" sqref="I29"/>
    </sheetView>
  </sheetViews>
  <sheetFormatPr defaultColWidth="3.7109375" defaultRowHeight="15" x14ac:dyDescent="0.25"/>
  <cols>
    <col min="1" max="4" width="3.7109375" style="51"/>
    <col min="5" max="5" width="3.7109375" style="51" customWidth="1"/>
    <col min="6" max="16384" width="3.7109375" style="51"/>
  </cols>
  <sheetData>
    <row r="2" spans="2:9" x14ac:dyDescent="0.25">
      <c r="B2" s="51" t="s">
        <v>845</v>
      </c>
      <c r="D2" s="51" t="s">
        <v>846</v>
      </c>
    </row>
    <row r="3" spans="2:9" x14ac:dyDescent="0.25">
      <c r="B3" s="51" t="s">
        <v>847</v>
      </c>
      <c r="D3" s="51" t="s">
        <v>848</v>
      </c>
    </row>
    <row r="4" spans="2:9" x14ac:dyDescent="0.25">
      <c r="B4" s="51" t="s">
        <v>849</v>
      </c>
      <c r="D4" s="51" t="s">
        <v>850</v>
      </c>
    </row>
    <row r="5" spans="2:9" x14ac:dyDescent="0.25">
      <c r="B5" s="51" t="s">
        <v>844</v>
      </c>
      <c r="D5" s="51" t="s">
        <v>851</v>
      </c>
    </row>
    <row r="6" spans="2:9" x14ac:dyDescent="0.25">
      <c r="E6" s="237">
        <v>42489</v>
      </c>
      <c r="F6" s="237"/>
      <c r="G6" s="237"/>
      <c r="H6" s="237"/>
      <c r="I6" s="51" t="s">
        <v>852</v>
      </c>
    </row>
    <row r="7" spans="2:9" x14ac:dyDescent="0.25">
      <c r="E7" s="237">
        <v>42490</v>
      </c>
      <c r="F7" s="237"/>
      <c r="G7" s="237"/>
      <c r="I7" s="51" t="s">
        <v>896</v>
      </c>
    </row>
    <row r="8" spans="2:9" x14ac:dyDescent="0.25">
      <c r="E8" s="237">
        <v>42491</v>
      </c>
      <c r="F8" s="237"/>
      <c r="G8" s="237"/>
      <c r="I8" s="51" t="s">
        <v>921</v>
      </c>
    </row>
    <row r="9" spans="2:9" x14ac:dyDescent="0.25">
      <c r="E9" s="237">
        <v>42492</v>
      </c>
      <c r="F9" s="237"/>
      <c r="G9" s="237"/>
      <c r="I9" s="51" t="s">
        <v>852</v>
      </c>
    </row>
    <row r="10" spans="2:9" x14ac:dyDescent="0.25">
      <c r="E10" s="237">
        <v>42493</v>
      </c>
      <c r="F10" s="237"/>
      <c r="G10" s="237"/>
      <c r="I10" s="51" t="s">
        <v>951</v>
      </c>
    </row>
    <row r="11" spans="2:9" x14ac:dyDescent="0.25">
      <c r="E11" s="237">
        <v>42494</v>
      </c>
      <c r="F11" s="237"/>
      <c r="G11" s="237"/>
      <c r="I11" s="51" t="s">
        <v>951</v>
      </c>
    </row>
    <row r="12" spans="2:9" x14ac:dyDescent="0.25">
      <c r="B12" s="51" t="s">
        <v>967</v>
      </c>
      <c r="D12" s="51" t="s">
        <v>966</v>
      </c>
      <c r="I12" s="51" t="s">
        <v>979</v>
      </c>
    </row>
    <row r="13" spans="2:9" x14ac:dyDescent="0.25">
      <c r="B13" s="51" t="s">
        <v>968</v>
      </c>
      <c r="D13" s="51" t="s">
        <v>969</v>
      </c>
      <c r="I13" s="51" t="s">
        <v>975</v>
      </c>
    </row>
    <row r="14" spans="2:9" x14ac:dyDescent="0.25">
      <c r="B14" s="51" t="s">
        <v>976</v>
      </c>
      <c r="D14" s="51" t="s">
        <v>988</v>
      </c>
    </row>
    <row r="15" spans="2:9" x14ac:dyDescent="0.25">
      <c r="E15" s="236">
        <v>42520</v>
      </c>
      <c r="F15" s="236"/>
      <c r="G15" s="236"/>
      <c r="I15" s="51" t="s">
        <v>951</v>
      </c>
    </row>
    <row r="16" spans="2:9" x14ac:dyDescent="0.25">
      <c r="E16" s="236">
        <v>42521</v>
      </c>
      <c r="F16" s="236"/>
      <c r="G16" s="236"/>
      <c r="I16" s="51" t="s">
        <v>951</v>
      </c>
    </row>
  </sheetData>
  <mergeCells count="8">
    <mergeCell ref="E15:G15"/>
    <mergeCell ref="E16:G16"/>
    <mergeCell ref="E11:G11"/>
    <mergeCell ref="E6:H6"/>
    <mergeCell ref="E7:G7"/>
    <mergeCell ref="E8:G8"/>
    <mergeCell ref="E9:G9"/>
    <mergeCell ref="E10:G10"/>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2:U31"/>
  <sheetViews>
    <sheetView topLeftCell="F1" zoomScale="145" zoomScaleNormal="145" workbookViewId="0">
      <selection activeCell="P20" sqref="P20"/>
    </sheetView>
  </sheetViews>
  <sheetFormatPr defaultColWidth="11.42578125" defaultRowHeight="12" x14ac:dyDescent="0.2"/>
  <cols>
    <col min="1" max="1" width="17.85546875" style="55" hidden="1" customWidth="1"/>
    <col min="2" max="2" width="17.42578125" style="54" hidden="1" customWidth="1"/>
    <col min="3" max="3" width="4" style="54" hidden="1" customWidth="1"/>
    <col min="4" max="4" width="11.42578125" style="54" hidden="1" customWidth="1"/>
    <col min="5" max="5" width="13.85546875" style="54" hidden="1" customWidth="1"/>
    <col min="6" max="7" width="3.5703125" style="55" customWidth="1"/>
    <col min="8" max="8" width="13.85546875" style="55" customWidth="1"/>
    <col min="9" max="9" width="6.140625" style="55" customWidth="1"/>
    <col min="10" max="10" width="11.140625" style="55" customWidth="1"/>
    <col min="11" max="11" width="5.140625" style="55" customWidth="1"/>
    <col min="12" max="13" width="4.42578125" style="55" customWidth="1"/>
    <col min="14" max="14" width="20.5703125" style="55" customWidth="1"/>
    <col min="15" max="15" width="1.42578125" style="56" customWidth="1"/>
    <col min="16" max="16" width="18.42578125" style="55" bestFit="1" customWidth="1"/>
    <col min="17" max="17" width="1.42578125" style="55" customWidth="1"/>
    <col min="18" max="18" width="20.140625" style="55" customWidth="1"/>
    <col min="19" max="19" width="1.42578125" style="56" customWidth="1"/>
    <col min="20" max="20" width="20.7109375" style="55" bestFit="1" customWidth="1"/>
    <col min="21" max="21" width="1.42578125" style="56" customWidth="1"/>
    <col min="22" max="16384" width="11.42578125" style="55"/>
  </cols>
  <sheetData>
    <row r="2" spans="2:21" ht="48" customHeight="1" x14ac:dyDescent="0.2">
      <c r="H2" s="57"/>
      <c r="I2" s="57"/>
      <c r="J2" s="57"/>
      <c r="K2" s="57"/>
      <c r="L2" s="57"/>
      <c r="M2" s="57"/>
      <c r="N2" s="57"/>
      <c r="O2" s="58"/>
      <c r="P2" s="57"/>
      <c r="Q2" s="57"/>
      <c r="R2" s="57"/>
      <c r="S2" s="58"/>
      <c r="T2" s="57"/>
      <c r="U2" s="58"/>
    </row>
    <row r="3" spans="2:21" ht="9" customHeight="1" x14ac:dyDescent="0.2">
      <c r="G3" s="57"/>
      <c r="H3" s="57"/>
      <c r="I3" s="57"/>
      <c r="J3" s="57"/>
      <c r="K3" s="57"/>
      <c r="L3" s="57"/>
      <c r="M3" s="57"/>
      <c r="N3" s="57"/>
      <c r="O3" s="58"/>
      <c r="P3" s="57"/>
      <c r="Q3" s="57"/>
      <c r="R3" s="57"/>
      <c r="S3" s="58"/>
      <c r="T3" s="57"/>
      <c r="U3" s="58"/>
    </row>
    <row r="4" spans="2:21" ht="14.25" customHeight="1" x14ac:dyDescent="0.4">
      <c r="G4" s="57"/>
      <c r="H4" s="283" t="str">
        <f>'VIO4'!H8</f>
        <v>Wymiary zewnętrzne korpusu</v>
      </c>
      <c r="I4" s="284"/>
      <c r="J4" s="285"/>
      <c r="K4" s="60"/>
      <c r="L4" s="57"/>
      <c r="M4" s="57"/>
      <c r="N4" s="57"/>
      <c r="O4" s="58"/>
      <c r="P4" s="57"/>
      <c r="Q4" s="57"/>
      <c r="R4" s="57"/>
      <c r="S4" s="58"/>
      <c r="T4" s="57"/>
      <c r="U4" s="58"/>
    </row>
    <row r="5" spans="2:21" s="62" customFormat="1" ht="12.75" customHeight="1" x14ac:dyDescent="0.2">
      <c r="B5" s="61"/>
      <c r="C5" s="61"/>
      <c r="D5" s="61"/>
      <c r="E5" s="61"/>
      <c r="G5" s="64"/>
      <c r="H5" s="91" t="str">
        <f>'VIO4'!H9</f>
        <v>Szerokość</v>
      </c>
      <c r="I5" s="85"/>
      <c r="J5" s="95" t="str">
        <f>IF(VIONARO!I7="","",'VIO4'!L9)</f>
        <v>600 MM</v>
      </c>
      <c r="K5" s="63"/>
      <c r="L5" s="64"/>
      <c r="M5" s="64"/>
      <c r="N5" s="64"/>
      <c r="O5" s="65"/>
      <c r="P5" s="64"/>
      <c r="Q5" s="64"/>
      <c r="R5" s="64"/>
      <c r="S5" s="65"/>
      <c r="T5" s="64"/>
      <c r="U5" s="65"/>
    </row>
    <row r="6" spans="2:21" s="62" customFormat="1" ht="11.25" x14ac:dyDescent="0.2">
      <c r="B6" s="61"/>
      <c r="C6" s="61"/>
      <c r="D6" s="61"/>
      <c r="E6" s="61"/>
      <c r="G6" s="64"/>
      <c r="H6" s="91" t="str">
        <f>'VIO4'!H10</f>
        <v>Wysokość</v>
      </c>
      <c r="I6" s="85"/>
      <c r="J6" s="95" t="str">
        <f>IF(VIONARO!K19="","",'VIO4'!L10)</f>
        <v>705 MM</v>
      </c>
      <c r="K6" s="64"/>
      <c r="L6" s="64"/>
      <c r="M6" s="64"/>
      <c r="N6" s="79"/>
      <c r="O6" s="65"/>
      <c r="P6" s="64"/>
      <c r="Q6" s="64"/>
      <c r="R6" s="64"/>
      <c r="S6" s="65"/>
      <c r="T6" s="64"/>
      <c r="U6" s="65"/>
    </row>
    <row r="7" spans="2:21" s="62" customFormat="1" ht="11.25" x14ac:dyDescent="0.2">
      <c r="B7" s="61"/>
      <c r="C7" s="61"/>
      <c r="D7" s="61"/>
      <c r="E7" s="61"/>
      <c r="G7" s="64"/>
      <c r="H7" s="91" t="str">
        <f>'VIO4'!H11</f>
        <v>Głębokość</v>
      </c>
      <c r="I7" s="85"/>
      <c r="J7" s="95" t="str">
        <f>IF(VIONARO!I8="","",'VIO4'!L11)</f>
        <v>508 MM</v>
      </c>
      <c r="K7" s="64"/>
      <c r="L7" s="64"/>
      <c r="M7" s="64"/>
      <c r="N7" s="68"/>
      <c r="O7" s="65"/>
      <c r="P7" s="64"/>
      <c r="Q7" s="64"/>
      <c r="R7" s="64"/>
      <c r="S7" s="65"/>
      <c r="T7" s="64"/>
      <c r="U7" s="65"/>
    </row>
    <row r="8" spans="2:21" s="62" customFormat="1" ht="15" x14ac:dyDescent="0.2">
      <c r="B8" s="61"/>
      <c r="C8" s="61"/>
      <c r="D8" s="61"/>
      <c r="E8" s="61"/>
      <c r="G8" s="64"/>
      <c r="H8" s="96"/>
      <c r="I8" s="96"/>
      <c r="J8" s="96"/>
      <c r="K8" s="64"/>
      <c r="L8" s="64"/>
      <c r="M8" s="64"/>
      <c r="N8" s="97"/>
      <c r="O8" s="65"/>
      <c r="P8" s="64"/>
      <c r="Q8" s="64"/>
      <c r="R8" s="64"/>
      <c r="S8" s="65"/>
      <c r="T8" s="64"/>
      <c r="U8" s="65"/>
    </row>
    <row r="9" spans="2:21" s="62" customFormat="1" ht="14.25" customHeight="1" x14ac:dyDescent="0.2">
      <c r="B9" s="61"/>
      <c r="C9" s="61"/>
      <c r="D9" s="61"/>
      <c r="E9" s="61"/>
      <c r="G9" s="64"/>
      <c r="H9" s="283">
        <f>'VIO4'!AO8</f>
        <v>0</v>
      </c>
      <c r="I9" s="284"/>
      <c r="J9" s="285"/>
      <c r="K9" s="64"/>
      <c r="L9" s="64"/>
      <c r="M9" s="64"/>
      <c r="N9" s="97"/>
      <c r="O9" s="65"/>
      <c r="P9" s="64"/>
      <c r="Q9" s="64"/>
      <c r="R9" s="64"/>
      <c r="S9" s="65"/>
      <c r="T9" s="64"/>
      <c r="U9" s="65"/>
    </row>
    <row r="10" spans="2:21" s="62" customFormat="1" ht="11.25" x14ac:dyDescent="0.2">
      <c r="B10" s="61"/>
      <c r="C10" s="61"/>
      <c r="D10" s="61"/>
      <c r="E10" s="61"/>
      <c r="G10" s="64"/>
      <c r="H10" s="288">
        <f>IF(VIONARO!I9="","",'VIO4'!AO9)</f>
        <v>0</v>
      </c>
      <c r="I10" s="288"/>
      <c r="J10" s="288"/>
      <c r="K10" s="64"/>
      <c r="L10" s="64"/>
      <c r="M10" s="64"/>
      <c r="N10" s="79"/>
      <c r="O10" s="65"/>
      <c r="P10" s="64"/>
      <c r="Q10" s="64"/>
      <c r="R10" s="64"/>
      <c r="S10" s="65"/>
      <c r="T10" s="64"/>
      <c r="U10" s="65"/>
    </row>
    <row r="11" spans="2:21" s="62" customFormat="1" ht="11.25" x14ac:dyDescent="0.2">
      <c r="B11" s="61"/>
      <c r="C11" s="61"/>
      <c r="D11" s="61"/>
      <c r="E11" s="61"/>
      <c r="G11" s="64"/>
      <c r="H11" s="64"/>
      <c r="I11" s="64"/>
      <c r="J11" s="64"/>
      <c r="K11" s="64"/>
      <c r="L11" s="64"/>
      <c r="M11" s="64"/>
      <c r="N11" s="79"/>
      <c r="O11" s="65"/>
      <c r="P11" s="64"/>
      <c r="Q11" s="64"/>
      <c r="R11" s="64"/>
      <c r="S11" s="65"/>
      <c r="T11" s="64"/>
      <c r="U11" s="65"/>
    </row>
    <row r="12" spans="2:21" s="62" customFormat="1" ht="11.25" x14ac:dyDescent="0.2">
      <c r="B12" s="61"/>
      <c r="C12" s="61"/>
      <c r="D12" s="61"/>
      <c r="E12" s="66"/>
      <c r="F12" s="67"/>
      <c r="G12" s="70"/>
      <c r="H12" s="64"/>
      <c r="I12" s="64"/>
      <c r="J12" s="64"/>
      <c r="K12" s="64"/>
      <c r="L12" s="64"/>
      <c r="M12" s="64"/>
      <c r="N12" s="64"/>
      <c r="O12" s="65"/>
      <c r="P12" s="98"/>
      <c r="Q12" s="98"/>
      <c r="R12" s="98"/>
      <c r="S12" s="65"/>
      <c r="T12" s="64"/>
      <c r="U12" s="65"/>
    </row>
    <row r="13" spans="2:21" s="62" customFormat="1" ht="11.25" customHeight="1" x14ac:dyDescent="0.2">
      <c r="B13" s="61"/>
      <c r="C13" s="61"/>
      <c r="D13" s="61"/>
      <c r="E13" s="61"/>
      <c r="G13" s="64"/>
      <c r="H13" s="70"/>
      <c r="I13" s="64"/>
      <c r="J13" s="64"/>
      <c r="K13" s="64"/>
      <c r="L13" s="291"/>
      <c r="M13" s="71"/>
      <c r="N13" s="81" t="str">
        <f>HLOOKUP(VIONARO!I4,Sprachen!A2:K43,33,FALSE)</f>
        <v>Szuflada</v>
      </c>
      <c r="O13" s="69"/>
      <c r="P13" s="81" t="str">
        <f>HLOOKUP(VIONARO!I4,Sprachen!A2:K43,19,FALSE)</f>
        <v>Typ prowadnicy</v>
      </c>
      <c r="Q13" s="68"/>
      <c r="R13" s="81" t="str">
        <f>HLOOKUP(VIONARO!I4,Sprachen!A2:K43,34,FALSE)</f>
        <v>Typ prowadnicy</v>
      </c>
      <c r="S13" s="69"/>
      <c r="T13" s="81" t="str">
        <f>HLOOKUP(VIONARO!I4,Sprachen!A2:K43,16,FALSE)</f>
        <v>Mocowanie frontu</v>
      </c>
      <c r="U13" s="65"/>
    </row>
    <row r="14" spans="2:21" s="62" customFormat="1" ht="11.25" hidden="1" customHeight="1" x14ac:dyDescent="0.2">
      <c r="B14" s="61"/>
      <c r="C14" s="61"/>
      <c r="D14" s="61" t="e">
        <f>SUM(D15:D25)</f>
        <v>#N/A</v>
      </c>
      <c r="E14" s="61"/>
      <c r="G14" s="64"/>
      <c r="H14" s="64"/>
      <c r="I14" s="72"/>
      <c r="J14" s="73"/>
      <c r="K14" s="74"/>
      <c r="L14" s="291"/>
      <c r="M14" s="75"/>
      <c r="N14" s="76"/>
      <c r="O14" s="77"/>
      <c r="P14" s="64"/>
      <c r="Q14" s="64"/>
      <c r="R14" s="64"/>
      <c r="S14" s="77"/>
      <c r="T14" s="64"/>
      <c r="U14" s="77"/>
    </row>
    <row r="15" spans="2:21" s="62" customFormat="1" ht="11.25" hidden="1" customHeight="1" x14ac:dyDescent="0.2">
      <c r="B15" s="61"/>
      <c r="C15" s="61"/>
      <c r="D15" s="66" t="str">
        <f>IF(P15="","",(VLOOKUP(P15,Formeln!A2:C5,3,FALSE)))</f>
        <v/>
      </c>
      <c r="E15" s="61"/>
      <c r="G15" s="64"/>
      <c r="H15" s="59"/>
      <c r="I15" s="78" t="e">
        <f>IF((OR((P15=""),(D14&gt;J10))),"",(N26+N25+N24+N23+N22+N21+N20+N19+N18+N17+N16+42-J6))</f>
        <v>#N/A</v>
      </c>
      <c r="J15" s="79"/>
      <c r="K15" s="80"/>
      <c r="L15" s="291"/>
      <c r="M15" s="81" t="s">
        <v>10</v>
      </c>
      <c r="N15" s="82"/>
      <c r="O15" s="77" t="str">
        <f>IF(P15="","",(IF(((VLOOKUP(P15,Formeln!$A$2:$D$5,4,FALSE))&gt;N15),"!!!","")))</f>
        <v/>
      </c>
      <c r="P15" s="83"/>
      <c r="Q15" s="85"/>
      <c r="R15" s="83"/>
      <c r="S15" s="77" t="str">
        <f>IF(T15="","",(IF(((VLOOKUP(T15,Formeln!$A$2:$D$5,4,FALSE))&gt;P15),"!!!","")))</f>
        <v/>
      </c>
      <c r="T15" s="83"/>
      <c r="U15" s="77" t="e">
        <f>IF(#REF!="","",(IF(((VLOOKUP(#REF!,Formeln!$A$2:$D$5,4,FALSE))&gt;T15),"!!!","")))</f>
        <v>#REF!</v>
      </c>
    </row>
    <row r="16" spans="2:21" s="62" customFormat="1" ht="11.25" hidden="1" customHeight="1" x14ac:dyDescent="0.2">
      <c r="B16" s="61"/>
      <c r="C16" s="61"/>
      <c r="D16" s="61"/>
      <c r="E16" s="61"/>
      <c r="G16" s="64"/>
      <c r="H16" s="64"/>
      <c r="I16" s="78"/>
      <c r="J16" s="79"/>
      <c r="K16" s="74"/>
      <c r="L16" s="291"/>
      <c r="M16" s="75"/>
      <c r="N16" s="84"/>
      <c r="O16" s="77"/>
      <c r="P16" s="85"/>
      <c r="Q16" s="85"/>
      <c r="R16" s="85"/>
      <c r="S16" s="77"/>
      <c r="T16" s="85"/>
      <c r="U16" s="77"/>
    </row>
    <row r="17" spans="1:21" s="62" customFormat="1" ht="11.25" hidden="1" customHeight="1" x14ac:dyDescent="0.2">
      <c r="B17" s="61"/>
      <c r="C17" s="61"/>
      <c r="D17" s="66" t="str">
        <f>IF(P17="","",(VLOOKUP(P17,Formeln!A2:C5,3,FALSE)))</f>
        <v/>
      </c>
      <c r="E17" s="61"/>
      <c r="G17" s="64"/>
      <c r="H17" s="59"/>
      <c r="I17" s="78" t="e">
        <f>IF((OR((P17=""),(D14&gt;J10))),"",(N26+N25+N24+N23+N22+N21+N20+N19+N18+42-J6))</f>
        <v>#N/A</v>
      </c>
      <c r="J17" s="79"/>
      <c r="K17" s="86"/>
      <c r="L17" s="291"/>
      <c r="M17" s="81" t="s">
        <v>9</v>
      </c>
      <c r="N17" s="82"/>
      <c r="O17" s="77" t="str">
        <f>IF(P17="","",(IF(((VLOOKUP(P17,Formeln!$A$2:$D$5,4,FALSE))&gt;N17),"!!!","")))</f>
        <v/>
      </c>
      <c r="P17" s="83"/>
      <c r="Q17" s="85"/>
      <c r="R17" s="83"/>
      <c r="S17" s="77" t="str">
        <f>IF(T17="","",(IF(((VLOOKUP(T17,Formeln!$A$2:$D$5,4,FALSE))&gt;P17),"!!!","")))</f>
        <v/>
      </c>
      <c r="T17" s="83"/>
      <c r="U17" s="77" t="e">
        <f>IF(#REF!="","",(IF(((VLOOKUP(#REF!,Formeln!$A$2:$D$5,4,FALSE))&gt;T17),"!!!","")))</f>
        <v>#REF!</v>
      </c>
    </row>
    <row r="18" spans="1:21" s="62" customFormat="1" ht="11.25" customHeight="1" x14ac:dyDescent="0.2">
      <c r="B18" s="61"/>
      <c r="C18" s="61"/>
      <c r="D18" s="61"/>
      <c r="E18" s="61"/>
      <c r="G18" s="64"/>
      <c r="H18" s="64"/>
      <c r="I18" s="99"/>
      <c r="J18" s="79"/>
      <c r="K18" s="289">
        <f>IF(VIONARO!M19="","",VIONARO!M19)</f>
        <v>0</v>
      </c>
      <c r="L18" s="291"/>
      <c r="M18" s="75"/>
      <c r="N18" s="100"/>
      <c r="O18" s="77"/>
      <c r="P18" s="85"/>
      <c r="Q18" s="85"/>
      <c r="R18" s="85"/>
      <c r="S18" s="77"/>
      <c r="T18" s="85"/>
      <c r="U18" s="77"/>
    </row>
    <row r="19" spans="1:21" s="62" customFormat="1" ht="11.25" x14ac:dyDescent="0.2">
      <c r="A19" s="87"/>
      <c r="B19" s="61"/>
      <c r="C19" s="88"/>
      <c r="D19" s="66" t="str">
        <f>IF(P19="","",(VLOOKUP(P19,Formeln!A2:C6,3,FALSE)))</f>
        <v/>
      </c>
      <c r="E19" s="61"/>
      <c r="G19" s="64"/>
      <c r="H19" s="59"/>
      <c r="I19" s="99"/>
      <c r="J19" s="79"/>
      <c r="K19" s="289"/>
      <c r="L19" s="291"/>
      <c r="M19" s="81" t="s">
        <v>18</v>
      </c>
      <c r="N19" s="95" t="str">
        <f>IF(VIONARO!O19="","",CONCATENATE(VIONARO!O19," / ",VIONARO!Q19))</f>
        <v/>
      </c>
      <c r="O19" s="77"/>
      <c r="P19" s="101" t="str">
        <f>IF(Formeln!AD1=1,"",VLOOKUP(Formeln!AD1,Formeln!AE1:AF4,2,FALSE))</f>
        <v/>
      </c>
      <c r="Q19" s="102"/>
      <c r="R19" s="101" t="str">
        <f>IF(Formeln!AD2=1,"",VLOOKUP(Formeln!AD2-1,Formeln!AE1:AF4,2,FALSE))</f>
        <v/>
      </c>
      <c r="S19" s="89"/>
      <c r="T19" s="101" t="e">
        <f>VLOOKUP(Formeln!AG1,Formeln!AH1:AI2,2,FALSE)</f>
        <v>#N/A</v>
      </c>
      <c r="U19" s="77"/>
    </row>
    <row r="20" spans="1:21" s="62" customFormat="1" ht="11.25" x14ac:dyDescent="0.2">
      <c r="B20" s="61"/>
      <c r="C20" s="90"/>
      <c r="D20" s="61"/>
      <c r="E20" s="61"/>
      <c r="G20" s="64"/>
      <c r="H20" s="64"/>
      <c r="I20" s="99"/>
      <c r="J20" s="79"/>
      <c r="K20" s="289">
        <f>IF(VIONARO!M21="","",VIONARO!M21)</f>
        <v>0</v>
      </c>
      <c r="L20" s="291"/>
      <c r="M20" s="75"/>
      <c r="N20" s="100"/>
      <c r="O20" s="77"/>
      <c r="P20" s="91"/>
      <c r="Q20" s="91"/>
      <c r="R20" s="91"/>
      <c r="S20" s="77"/>
      <c r="T20" s="85"/>
      <c r="U20" s="77"/>
    </row>
    <row r="21" spans="1:21" s="62" customFormat="1" ht="11.25" x14ac:dyDescent="0.2">
      <c r="B21" s="61"/>
      <c r="C21" s="61"/>
      <c r="D21" s="66" t="str">
        <f>IF(P21="","",(VLOOKUP(P21,Formeln!A2:C6,3,FALSE)))</f>
        <v/>
      </c>
      <c r="E21" s="61"/>
      <c r="G21" s="64"/>
      <c r="H21" s="59"/>
      <c r="I21" s="99"/>
      <c r="J21" s="79"/>
      <c r="K21" s="289"/>
      <c r="L21" s="291"/>
      <c r="M21" s="81" t="s">
        <v>17</v>
      </c>
      <c r="N21" s="95" t="str">
        <f>IF(VIONARO!O21="","",CONCATENATE(VIONARO!O21," / ",VIONARO!Q21))</f>
        <v/>
      </c>
      <c r="O21" s="77"/>
      <c r="P21" s="101" t="str">
        <f>IF(Formeln!AD7=1,"",VLOOKUP(Formeln!AD7,Formeln!AE1:AF4,2,FALSE))</f>
        <v/>
      </c>
      <c r="Q21" s="102"/>
      <c r="R21" s="101" t="str">
        <f>IF(Formeln!AD8=1,"",VLOOKUP(Formeln!AD8-1,Formeln!AE1:AF4,2,FALSE))</f>
        <v/>
      </c>
      <c r="S21" s="89"/>
      <c r="T21" s="101" t="e">
        <f>VLOOKUP(Formeln!AG4,Formeln!AH1:AI2,2,FALSE)</f>
        <v>#N/A</v>
      </c>
      <c r="U21" s="77"/>
    </row>
    <row r="22" spans="1:21" s="62" customFormat="1" ht="11.25" x14ac:dyDescent="0.2">
      <c r="B22" s="61"/>
      <c r="C22" s="61"/>
      <c r="D22" s="90"/>
      <c r="E22" s="61"/>
      <c r="G22" s="64"/>
      <c r="H22" s="64"/>
      <c r="I22" s="99"/>
      <c r="J22" s="79"/>
      <c r="K22" s="289">
        <f>IF(VIONARO!M23="","",VIONARO!M23)</f>
        <v>140</v>
      </c>
      <c r="L22" s="291"/>
      <c r="M22" s="75"/>
      <c r="N22" s="100"/>
      <c r="O22" s="77"/>
      <c r="P22" s="91"/>
      <c r="Q22" s="91"/>
      <c r="R22" s="91"/>
      <c r="S22" s="77"/>
      <c r="T22" s="85"/>
      <c r="U22" s="77"/>
    </row>
    <row r="23" spans="1:21" s="62" customFormat="1" ht="11.25" x14ac:dyDescent="0.2">
      <c r="B23" s="61"/>
      <c r="C23" s="61"/>
      <c r="D23" s="66" t="e">
        <f>IF(P23="","",(VLOOKUP(P23,Formeln!A2:C6,3,FALSE)))</f>
        <v>#N/A</v>
      </c>
      <c r="E23" s="61"/>
      <c r="G23" s="64"/>
      <c r="H23" s="59"/>
      <c r="I23" s="99"/>
      <c r="J23" s="79"/>
      <c r="K23" s="289"/>
      <c r="L23" s="291"/>
      <c r="M23" s="81" t="s">
        <v>16</v>
      </c>
      <c r="N23" s="95" t="str">
        <f>IF(VIONARO!O23="","",CONCATENATE(VIONARO!O23," / ",VIONARO!Q23))</f>
        <v>VIONARO H89 / 500</v>
      </c>
      <c r="O23" s="77"/>
      <c r="P23" s="101" t="str">
        <f>IF(Formeln!AD5=1,"",VLOOKUP(Formeln!AD5,Formeln!AE1:AF4,2,FALSE))</f>
        <v>SOFT-CLOSE 40KG</v>
      </c>
      <c r="Q23" s="102"/>
      <c r="R23" s="101" t="str">
        <f>IF(Formeln!AD6=1,"",VLOOKUP(Formeln!AD6-1,Formeln!AE1:AF4,2,FALSE))</f>
        <v/>
      </c>
      <c r="S23" s="89"/>
      <c r="T23" s="101" t="str">
        <f>VLOOKUP(Formeln!AG3,Formeln!AH1:AI2,2,FALSE)</f>
        <v>Anschrauben</v>
      </c>
      <c r="U23" s="77"/>
    </row>
    <row r="24" spans="1:21" s="62" customFormat="1" ht="11.25" x14ac:dyDescent="0.2">
      <c r="B24" s="66"/>
      <c r="C24" s="61"/>
      <c r="D24" s="61"/>
      <c r="E24" s="61"/>
      <c r="G24" s="64"/>
      <c r="H24" s="64"/>
      <c r="I24" s="99"/>
      <c r="J24" s="79"/>
      <c r="K24" s="289">
        <f>IF(VIONARO!M25="","",VIONARO!M25)</f>
        <v>560</v>
      </c>
      <c r="L24" s="291"/>
      <c r="M24" s="75"/>
      <c r="N24" s="92"/>
      <c r="O24" s="77"/>
      <c r="P24" s="91"/>
      <c r="Q24" s="91"/>
      <c r="R24" s="91"/>
      <c r="S24" s="77"/>
      <c r="T24" s="85"/>
      <c r="U24" s="77"/>
    </row>
    <row r="25" spans="1:21" s="62" customFormat="1" ht="11.25" x14ac:dyDescent="0.2">
      <c r="B25" s="61"/>
      <c r="C25" s="61"/>
      <c r="D25" s="66" t="e">
        <f>IF(P25="","",(VLOOKUP(P25,Formeln!A2:C6,3,FALSE)))</f>
        <v>#N/A</v>
      </c>
      <c r="E25" s="61"/>
      <c r="G25" s="64"/>
      <c r="H25" s="59"/>
      <c r="I25" s="99"/>
      <c r="J25" s="79"/>
      <c r="K25" s="289"/>
      <c r="L25" s="291"/>
      <c r="M25" s="81" t="s">
        <v>15</v>
      </c>
      <c r="N25" s="95" t="str">
        <f>IF(VIONARO!O25="","",CONCATENATE(VIONARO!O25," / ",VIONARO!Q25))</f>
        <v>VIONARO H185 / 500</v>
      </c>
      <c r="O25" s="77"/>
      <c r="P25" s="101" t="str">
        <f>IF(Formeln!AD3=1,"",VLOOKUP(Formeln!AD3,Formeln!AE1:AF4,2,FALSE))</f>
        <v>SOFT-CLOSE 40KG</v>
      </c>
      <c r="Q25" s="102"/>
      <c r="R25" s="101" t="str">
        <f>IF(Formeln!AD4=1,"",VLOOKUP(Formeln!AD4-1,Formeln!AE1:AF4,2,FALSE))</f>
        <v>SOFT-CLOSE 40KG</v>
      </c>
      <c r="S25" s="89"/>
      <c r="T25" s="101" t="str">
        <f>VLOOKUP(Formeln!AG2,Formeln!AH1:AI2,2,FALSE)</f>
        <v>Anschrauben</v>
      </c>
      <c r="U25" s="77"/>
    </row>
    <row r="26" spans="1:21" s="62" customFormat="1" ht="11.25" x14ac:dyDescent="0.2">
      <c r="B26" s="61"/>
      <c r="C26" s="61"/>
      <c r="D26" s="61"/>
      <c r="E26" s="61"/>
      <c r="G26" s="64"/>
      <c r="H26" s="64"/>
      <c r="I26" s="64"/>
      <c r="J26" s="64"/>
      <c r="K26" s="64"/>
      <c r="L26" s="291"/>
      <c r="M26" s="75"/>
      <c r="N26" s="92"/>
      <c r="O26" s="65"/>
      <c r="P26" s="64"/>
      <c r="Q26" s="64"/>
      <c r="R26" s="64"/>
      <c r="S26" s="65"/>
      <c r="T26" s="64"/>
      <c r="U26" s="65"/>
    </row>
    <row r="27" spans="1:21" s="62" customFormat="1" ht="15" customHeight="1" x14ac:dyDescent="0.2">
      <c r="B27" s="61"/>
      <c r="C27" s="61"/>
      <c r="D27" s="61"/>
      <c r="E27" s="61"/>
      <c r="G27" s="292" t="str">
        <f>HLOOKUP(VIONARO!I4,Sprachen!A2:K43,42,FALSE)</f>
        <v>Wszystkie wymiary w mm</v>
      </c>
      <c r="H27" s="292"/>
      <c r="I27" s="292"/>
      <c r="J27" s="290" t="str">
        <f>HLOOKUP(VIONARO!I4,Sprachen!A2:K43,32,FALSE)</f>
        <v>Powrót</v>
      </c>
      <c r="K27" s="290"/>
      <c r="L27" s="70"/>
      <c r="M27" s="70"/>
      <c r="N27" s="64"/>
      <c r="O27" s="65"/>
      <c r="P27" s="94"/>
      <c r="Q27" s="94"/>
      <c r="R27" s="94"/>
      <c r="S27" s="94"/>
      <c r="T27" s="286" t="str">
        <f>HLOOKUP(VIONARO!I4,Sprachen!A2:K43,31,FALSE)</f>
        <v>Lista okuć</v>
      </c>
      <c r="U27" s="103"/>
    </row>
    <row r="28" spans="1:21" s="62" customFormat="1" ht="11.25" x14ac:dyDescent="0.2">
      <c r="B28" s="61"/>
      <c r="C28" s="61"/>
      <c r="D28" s="61"/>
      <c r="E28" s="61"/>
      <c r="G28" s="64"/>
      <c r="H28" s="64"/>
      <c r="I28" s="70"/>
      <c r="J28" s="290"/>
      <c r="K28" s="290"/>
      <c r="L28" s="70"/>
      <c r="M28" s="70"/>
      <c r="N28" s="64"/>
      <c r="O28" s="65"/>
      <c r="P28" s="94"/>
      <c r="Q28" s="94"/>
      <c r="R28" s="94"/>
      <c r="S28" s="94"/>
      <c r="T28" s="286"/>
      <c r="U28" s="103"/>
    </row>
    <row r="29" spans="1:21" x14ac:dyDescent="0.2">
      <c r="G29" s="57"/>
      <c r="H29" s="57"/>
      <c r="I29" s="57"/>
      <c r="J29" s="292" t="str">
        <f>HLOOKUP(VIONARO!I4,Sprachen!A2:K43,40,FALSE)</f>
        <v>Ponowny start</v>
      </c>
      <c r="K29" s="292"/>
      <c r="L29" s="104"/>
      <c r="M29" s="57"/>
      <c r="N29" s="57"/>
      <c r="O29" s="58"/>
      <c r="P29" s="105"/>
      <c r="Q29" s="105"/>
      <c r="R29" s="105"/>
      <c r="S29" s="106"/>
      <c r="T29" s="287" t="str">
        <f>HLOOKUP(VIONARO!I4,Sprachen!A2:K43,36,FALSE)</f>
        <v>Lista elementów płytowych</v>
      </c>
      <c r="U29" s="106"/>
    </row>
    <row r="30" spans="1:21" x14ac:dyDescent="0.2">
      <c r="G30" s="57"/>
      <c r="H30" s="57"/>
      <c r="I30" s="57"/>
      <c r="J30" s="292"/>
      <c r="K30" s="292"/>
      <c r="L30" s="104"/>
      <c r="M30" s="57"/>
      <c r="N30" s="57"/>
      <c r="O30" s="58"/>
      <c r="P30" s="57"/>
      <c r="Q30" s="57"/>
      <c r="R30" s="57"/>
      <c r="S30" s="58"/>
      <c r="T30" s="287"/>
      <c r="U30" s="58"/>
    </row>
    <row r="31" spans="1:21" x14ac:dyDescent="0.2">
      <c r="G31" s="57"/>
      <c r="H31" s="57"/>
      <c r="I31" s="57"/>
      <c r="J31" s="57"/>
      <c r="K31" s="57"/>
      <c r="L31" s="57"/>
      <c r="M31" s="57"/>
      <c r="N31" s="57"/>
      <c r="O31" s="58"/>
      <c r="P31" s="57"/>
      <c r="Q31" s="57"/>
      <c r="R31" s="57"/>
      <c r="S31" s="58"/>
      <c r="T31" s="57"/>
      <c r="U31" s="58"/>
    </row>
  </sheetData>
  <sheetProtection selectLockedCells="1"/>
  <mergeCells count="13">
    <mergeCell ref="H4:J4"/>
    <mergeCell ref="H9:J9"/>
    <mergeCell ref="T27:T28"/>
    <mergeCell ref="T29:T30"/>
    <mergeCell ref="H10:J10"/>
    <mergeCell ref="K18:K19"/>
    <mergeCell ref="K20:K21"/>
    <mergeCell ref="K22:K23"/>
    <mergeCell ref="K24:K25"/>
    <mergeCell ref="J27:K28"/>
    <mergeCell ref="L13:L26"/>
    <mergeCell ref="G27:I27"/>
    <mergeCell ref="J29:K30"/>
  </mergeCells>
  <dataValidations count="6">
    <dataValidation type="whole" allowBlank="1" showInputMessage="1" showErrorMessage="1" errorTitle="Nicht möglich! / Invalid value!" error="Aus Dropdown-Feld wählen / Take drop-down box" sqref="J8">
      <formula1>273</formula1>
      <formula2>1501</formula2>
    </dataValidation>
    <dataValidation type="whole" allowBlank="1" showErrorMessage="1" errorTitle="Nicht möglich! / Invalid value!" error="0 - 5 mm" sqref="N26 N18">
      <formula1>0</formula1>
      <formula2>5</formula2>
    </dataValidation>
    <dataValidation type="whole" allowBlank="1" showInputMessage="1" showErrorMessage="1" sqref="N15 N17">
      <formula1>96</formula1>
      <formula2>780</formula2>
    </dataValidation>
    <dataValidation type="list" allowBlank="1" showInputMessage="1" showErrorMessage="1" sqref="T15 P15:R15 P17:R17 T17">
      <formula1>$A$2:$A$6</formula1>
    </dataValidation>
    <dataValidation type="whole" allowBlank="1" showInputMessage="1" showErrorMessage="1" sqref="N14 N16">
      <formula1>0</formula1>
      <formula2>5</formula2>
    </dataValidation>
    <dataValidation allowBlank="1" showInputMessage="1" showErrorMessage="1" errorTitle="Nicht möglich! / Invalid value!" error="Aus Dropdown-Feld wählen / Take drop-down box" sqref="T25 T21 T23"/>
  </dataValidations>
  <pageMargins left="0.7" right="0.7" top="0.78740157499999996" bottom="0.78740157499999996" header="0.3" footer="0.3"/>
  <pageSetup paperSize="9" orientation="portrait" r:id="rId1"/>
  <ignoredErrors>
    <ignoredError sqref="N20 N22 N2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575884E2-2151-4949-AEFF-1C32E7F0379B}">
            <xm:f>IF(VIONARO!$I$10&lt;4,1,0)</xm:f>
            <x14:dxf>
              <fill>
                <patternFill>
                  <bgColor theme="0"/>
                </patternFill>
              </fill>
            </x14:dxf>
          </x14:cfRule>
          <xm:sqref>M19:T19</xm:sqref>
        </x14:conditionalFormatting>
        <x14:conditionalFormatting xmlns:xm="http://schemas.microsoft.com/office/excel/2006/main">
          <x14:cfRule type="expression" priority="4" id="{6F81C7BD-BD8F-4606-B31D-BCFAC55F6478}">
            <xm:f>IF(VIONARO!$I$10&lt;3,1,0)</xm:f>
            <x14:dxf>
              <fill>
                <patternFill>
                  <bgColor theme="0"/>
                </patternFill>
              </fill>
            </x14:dxf>
          </x14:cfRule>
          <xm:sqref>M21:T21</xm:sqref>
        </x14:conditionalFormatting>
        <x14:conditionalFormatting xmlns:xm="http://schemas.microsoft.com/office/excel/2006/main">
          <x14:cfRule type="expression" priority="3" id="{8413C2F3-0BFF-4C60-A028-E8B67C5ADD1A}">
            <xm:f>IF(VIONARO!$I$10&lt;2,1,0)</xm:f>
            <x14:dxf>
              <fill>
                <patternFill>
                  <bgColor theme="0"/>
                </patternFill>
              </fill>
            </x14:dxf>
          </x14:cfRule>
          <xm:sqref>M23:T23</xm:sqref>
        </x14:conditionalFormatting>
        <x14:conditionalFormatting xmlns:xm="http://schemas.microsoft.com/office/excel/2006/main">
          <x14:cfRule type="expression" priority="2" id="{85D93E3F-5997-4CCC-BD98-2FD239EFEAF4}">
            <xm:f>IF(VIONARO!$I$10="",1,0)</xm:f>
            <x14:dxf>
              <fill>
                <patternFill>
                  <bgColor theme="0"/>
                </patternFill>
              </fill>
            </x14:dxf>
          </x14:cfRule>
          <xm:sqref>M25:T25</xm:sqref>
        </x14:conditionalFormatting>
        <x14:conditionalFormatting xmlns:xm="http://schemas.microsoft.com/office/excel/2006/main">
          <x14:cfRule type="expression" priority="1" id="{54B0A6DF-E2B3-4A90-8033-CD09544CDA09}">
            <xm:f>IF(VIONARO!$I$10="",1,0)</xm:f>
            <x14:dxf>
              <fill>
                <patternFill>
                  <bgColor theme="0"/>
                </patternFill>
              </fill>
            </x14:dxf>
          </x14:cfRule>
          <xm:sqref>N13:T13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Formeln!$F$8:$F$11</xm:f>
          </x14:formula1>
          <xm:sqref>Q25</xm:sqref>
        </x14:dataValidation>
        <x14:dataValidation type="list" allowBlank="1" showInputMessage="1" showErrorMessage="1" errorTitle="Nicht möglich! / Invalid value!" error="Aus Dropdown-Feld wählen / Take drop-down box">
          <x14:formula1>
            <xm:f>Formeln!$AM$14:$AM$18</xm:f>
          </x14:formula1>
          <xm:sqref>P25</xm:sqref>
        </x14:dataValidation>
        <x14:dataValidation type="list" allowBlank="1" showInputMessage="1" showErrorMessage="1" errorTitle="Nicht möglich! / Invalid value!" error="Aus Dropdown-Feld wählen / Take drop-down box">
          <x14:formula1>
            <xm:f>Formeln!$AO$14:$AO$18</xm:f>
          </x14:formula1>
          <xm:sqref>R25</xm:sqref>
        </x14:dataValidation>
        <x14:dataValidation type="list" allowBlank="1" showInputMessage="1" showErrorMessage="1" errorTitle="Nicht möglich! / Invalid value!" error="Aus Dropdown-Feld wählen / Take drop-down box">
          <x14:formula1>
            <xm:f>Formeln!$AM$22:$AM$26</xm:f>
          </x14:formula1>
          <xm:sqref>P23</xm:sqref>
        </x14:dataValidation>
        <x14:dataValidation type="list" allowBlank="1" showInputMessage="1" showErrorMessage="1" errorTitle="Nicht möglich! / Invalid value!" error="Aus Dropdown-Feld wählen / Take drop-down box">
          <x14:formula1>
            <xm:f>Formeln!$AO$22:$AO$26</xm:f>
          </x14:formula1>
          <xm:sqref>R23</xm:sqref>
        </x14:dataValidation>
        <x14:dataValidation type="list" allowBlank="1" showInputMessage="1" showErrorMessage="1" errorTitle="Nicht möglich! / Invalid value!" error="Aus Dropdown-Feld wählen / Take drop-down box">
          <x14:formula1>
            <xm:f>Formeln!$AM$30:$AM$34</xm:f>
          </x14:formula1>
          <xm:sqref>P21</xm:sqref>
        </x14:dataValidation>
        <x14:dataValidation type="list" allowBlank="1" showInputMessage="1" showErrorMessage="1" errorTitle="Nicht möglich! / Invalid value!" error="Aus Dropdown-Feld wählen / Take drop-down box">
          <x14:formula1>
            <xm:f>Formeln!$AM$38:$AM$42</xm:f>
          </x14:formula1>
          <xm:sqref>P19</xm:sqref>
        </x14:dataValidation>
        <x14:dataValidation type="list" allowBlank="1" showInputMessage="1" showErrorMessage="1" errorTitle="Nicht möglich! / Invalid value" error="Aus Dropdown-Feld wählen / Take drop-down box">
          <x14:formula1>
            <xm:f>Formeln!$AO$30:$AO$34</xm:f>
          </x14:formula1>
          <xm:sqref>R21</xm:sqref>
        </x14:dataValidation>
        <x14:dataValidation type="list" allowBlank="1" showInputMessage="1" showErrorMessage="1" errorTitle="Nicht möglich! / Invalid value!" error="Aus Dropdown-Feld wählen / Take drop-down box">
          <x14:formula1>
            <xm:f>Formeln!$AO$38:$AO$42</xm:f>
          </x14:formula1>
          <xm:sqref>R19</xm:sqref>
        </x14:dataValidation>
        <x14:dataValidation type="list" allowBlank="1" showInputMessage="1" showErrorMessage="1" errorTitle="Nicht möglich! / Invalid value!" error="Aus Dropdown-Feld wählen / Take drop-down box">
          <x14:formula1>
            <xm:f>Formeln!$E$8:$E$9</xm:f>
          </x14:formula1>
          <xm:sqref>T19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BK160"/>
  <sheetViews>
    <sheetView topLeftCell="AE1" zoomScaleNormal="100" workbookViewId="0">
      <selection activeCell="AJ2" sqref="AJ2"/>
    </sheetView>
  </sheetViews>
  <sheetFormatPr defaultColWidth="11.42578125" defaultRowHeight="15" x14ac:dyDescent="0.25"/>
  <cols>
    <col min="1" max="1" width="19" bestFit="1" customWidth="1"/>
    <col min="2" max="2" width="14.28515625" bestFit="1" customWidth="1"/>
    <col min="3" max="3" width="19.5703125" bestFit="1" customWidth="1"/>
    <col min="4" max="4" width="17.7109375" bestFit="1" customWidth="1"/>
    <col min="5" max="5" width="32.28515625" customWidth="1"/>
    <col min="6" max="6" width="11" customWidth="1"/>
    <col min="7" max="7" width="19.140625" bestFit="1" customWidth="1"/>
    <col min="8" max="8" width="12.5703125" customWidth="1"/>
    <col min="11" max="11" width="14.28515625" bestFit="1" customWidth="1"/>
    <col min="17" max="17" width="13.28515625" bestFit="1" customWidth="1"/>
    <col min="28" max="28" width="14.28515625" style="13" bestFit="1" customWidth="1"/>
    <col min="29" max="29" width="18.85546875" style="13" bestFit="1" customWidth="1"/>
    <col min="30" max="30" width="14.28515625" style="13" bestFit="1" customWidth="1"/>
    <col min="33" max="33" width="34.28515625" bestFit="1" customWidth="1"/>
    <col min="34" max="34" width="11" bestFit="1" customWidth="1"/>
    <col min="35" max="35" width="28.85546875" bestFit="1" customWidth="1"/>
    <col min="36" max="36" width="28.85546875" customWidth="1"/>
    <col min="39" max="39" width="23.28515625" bestFit="1" customWidth="1"/>
    <col min="42" max="42" width="14.28515625" bestFit="1" customWidth="1"/>
    <col min="47" max="47" width="16.5703125" bestFit="1" customWidth="1"/>
    <col min="49" max="49" width="19.5703125" bestFit="1" customWidth="1"/>
    <col min="55" max="55" width="14.28515625" bestFit="1" customWidth="1"/>
  </cols>
  <sheetData>
    <row r="1" spans="1:46" x14ac:dyDescent="0.25">
      <c r="A1" s="13"/>
      <c r="B1" s="13"/>
      <c r="C1" s="13" t="s">
        <v>897</v>
      </c>
      <c r="D1" s="13" t="s">
        <v>898</v>
      </c>
      <c r="E1" s="13" t="s">
        <v>4</v>
      </c>
      <c r="F1" s="13" t="s">
        <v>8</v>
      </c>
      <c r="G1" s="13" t="s">
        <v>62</v>
      </c>
      <c r="H1" s="13" t="s">
        <v>511</v>
      </c>
      <c r="J1" s="13">
        <v>1</v>
      </c>
      <c r="K1" t="s">
        <v>773</v>
      </c>
      <c r="L1" t="s">
        <v>19</v>
      </c>
      <c r="M1" s="13"/>
      <c r="N1" s="13">
        <v>2</v>
      </c>
      <c r="O1">
        <v>1</v>
      </c>
      <c r="P1">
        <v>16</v>
      </c>
      <c r="R1">
        <v>2</v>
      </c>
      <c r="S1">
        <v>5</v>
      </c>
      <c r="T1" t="s">
        <v>67</v>
      </c>
      <c r="W1">
        <v>3</v>
      </c>
      <c r="X1">
        <v>1</v>
      </c>
      <c r="Y1">
        <v>2</v>
      </c>
      <c r="Z1" s="14" t="s">
        <v>0</v>
      </c>
      <c r="AA1">
        <v>1</v>
      </c>
      <c r="AB1" s="13">
        <v>2</v>
      </c>
      <c r="AC1" s="13">
        <v>270</v>
      </c>
      <c r="AD1" s="13">
        <v>1</v>
      </c>
      <c r="AE1" s="119">
        <v>2</v>
      </c>
      <c r="AF1" t="s">
        <v>503</v>
      </c>
      <c r="AG1">
        <v>1</v>
      </c>
      <c r="AH1">
        <v>2</v>
      </c>
      <c r="AI1" t="s">
        <v>421</v>
      </c>
      <c r="AJ1">
        <v>1</v>
      </c>
      <c r="AK1">
        <v>2</v>
      </c>
      <c r="AL1" t="s">
        <v>1</v>
      </c>
    </row>
    <row r="2" spans="1:46" x14ac:dyDescent="0.25">
      <c r="A2" s="14" t="s">
        <v>0</v>
      </c>
      <c r="B2" s="13">
        <v>37</v>
      </c>
      <c r="C2" s="13">
        <v>85</v>
      </c>
      <c r="D2" s="13">
        <v>95</v>
      </c>
      <c r="E2" s="13">
        <v>201</v>
      </c>
      <c r="F2" s="13">
        <v>128</v>
      </c>
      <c r="G2" s="13">
        <v>453</v>
      </c>
      <c r="H2" s="13">
        <v>33</v>
      </c>
      <c r="J2" s="13">
        <v>2</v>
      </c>
      <c r="K2" t="s">
        <v>774</v>
      </c>
      <c r="L2" t="s">
        <v>20</v>
      </c>
      <c r="O2">
        <v>2</v>
      </c>
      <c r="P2">
        <v>18</v>
      </c>
      <c r="S2">
        <v>1</v>
      </c>
      <c r="T2" t="s">
        <v>68</v>
      </c>
      <c r="X2">
        <v>5</v>
      </c>
      <c r="Y2">
        <v>3</v>
      </c>
      <c r="Z2" s="14" t="s">
        <v>1</v>
      </c>
      <c r="AA2">
        <v>1</v>
      </c>
      <c r="AB2" s="13">
        <v>3</v>
      </c>
      <c r="AC2" s="13">
        <v>300</v>
      </c>
      <c r="AD2" s="13">
        <v>1</v>
      </c>
      <c r="AE2">
        <v>3</v>
      </c>
      <c r="AF2" t="s">
        <v>504</v>
      </c>
      <c r="AG2">
        <v>2</v>
      </c>
      <c r="AH2">
        <v>3</v>
      </c>
      <c r="AI2" t="s">
        <v>423</v>
      </c>
      <c r="AJ2">
        <v>4</v>
      </c>
      <c r="AK2">
        <v>3</v>
      </c>
      <c r="AL2" t="s">
        <v>2</v>
      </c>
    </row>
    <row r="3" spans="1:46" x14ac:dyDescent="0.25">
      <c r="A3" s="14" t="s">
        <v>1</v>
      </c>
      <c r="B3" s="13">
        <v>37</v>
      </c>
      <c r="C3" s="13">
        <v>111</v>
      </c>
      <c r="D3" s="13">
        <v>121</v>
      </c>
      <c r="E3" s="13">
        <v>391</v>
      </c>
      <c r="F3" s="13">
        <v>154</v>
      </c>
      <c r="G3" s="13">
        <v>273</v>
      </c>
      <c r="H3" s="13">
        <v>59</v>
      </c>
      <c r="J3" s="13">
        <v>3</v>
      </c>
      <c r="K3" t="s">
        <v>776</v>
      </c>
      <c r="L3" t="s">
        <v>21</v>
      </c>
      <c r="O3">
        <v>3</v>
      </c>
      <c r="P3">
        <v>19</v>
      </c>
      <c r="S3">
        <v>2</v>
      </c>
      <c r="T3" t="s">
        <v>69</v>
      </c>
      <c r="X3">
        <v>3</v>
      </c>
      <c r="Y3">
        <v>4</v>
      </c>
      <c r="Z3" s="14" t="s">
        <v>2</v>
      </c>
      <c r="AA3">
        <v>7</v>
      </c>
      <c r="AB3" s="13">
        <v>4</v>
      </c>
      <c r="AC3" s="13">
        <v>350</v>
      </c>
      <c r="AD3" s="13">
        <v>2</v>
      </c>
      <c r="AE3">
        <v>4</v>
      </c>
      <c r="AF3" t="s">
        <v>505</v>
      </c>
      <c r="AG3">
        <v>2</v>
      </c>
      <c r="AJ3">
        <v>1</v>
      </c>
      <c r="AK3">
        <v>4</v>
      </c>
      <c r="AL3" t="s">
        <v>3</v>
      </c>
    </row>
    <row r="4" spans="1:46" x14ac:dyDescent="0.25">
      <c r="A4" s="14" t="s">
        <v>2</v>
      </c>
      <c r="B4" s="13">
        <v>37</v>
      </c>
      <c r="C4" s="13">
        <v>143</v>
      </c>
      <c r="D4" s="13">
        <v>153</v>
      </c>
      <c r="E4" s="13">
        <v>391</v>
      </c>
      <c r="F4" s="13">
        <v>186</v>
      </c>
      <c r="G4" s="13">
        <v>353</v>
      </c>
      <c r="H4" s="13">
        <v>91</v>
      </c>
      <c r="J4" s="13">
        <v>4</v>
      </c>
      <c r="K4" t="s">
        <v>775</v>
      </c>
      <c r="L4" t="s">
        <v>22</v>
      </c>
      <c r="S4">
        <v>3</v>
      </c>
      <c r="T4" t="s">
        <v>70</v>
      </c>
      <c r="X4">
        <v>1</v>
      </c>
      <c r="Y4">
        <v>5</v>
      </c>
      <c r="Z4" s="14" t="s">
        <v>3</v>
      </c>
      <c r="AA4">
        <v>6</v>
      </c>
      <c r="AB4" s="13">
        <v>5</v>
      </c>
      <c r="AC4" s="13">
        <v>400</v>
      </c>
      <c r="AD4" s="13">
        <v>3</v>
      </c>
      <c r="AE4">
        <v>5</v>
      </c>
      <c r="AF4" t="s">
        <v>506</v>
      </c>
      <c r="AG4">
        <v>1</v>
      </c>
      <c r="AJ4">
        <v>1</v>
      </c>
    </row>
    <row r="5" spans="1:46" x14ac:dyDescent="0.25">
      <c r="A5" s="14" t="s">
        <v>3</v>
      </c>
      <c r="B5" s="13">
        <v>37</v>
      </c>
      <c r="C5" s="13">
        <v>207</v>
      </c>
      <c r="D5" s="13">
        <v>217</v>
      </c>
      <c r="E5" s="13">
        <v>781</v>
      </c>
      <c r="F5" s="13">
        <v>250</v>
      </c>
      <c r="G5" s="13">
        <v>273</v>
      </c>
      <c r="H5" s="13">
        <v>155</v>
      </c>
      <c r="J5" s="13">
        <v>5</v>
      </c>
      <c r="K5" t="s">
        <v>780</v>
      </c>
      <c r="L5" t="s">
        <v>23</v>
      </c>
      <c r="S5">
        <v>4</v>
      </c>
      <c r="T5" t="s">
        <v>71</v>
      </c>
      <c r="Y5">
        <v>6</v>
      </c>
      <c r="Z5" s="14" t="s">
        <v>66</v>
      </c>
      <c r="AA5">
        <v>7</v>
      </c>
      <c r="AB5" s="13">
        <v>6</v>
      </c>
      <c r="AC5" s="13">
        <v>450</v>
      </c>
      <c r="AD5" s="13">
        <v>2</v>
      </c>
    </row>
    <row r="6" spans="1:46" x14ac:dyDescent="0.25">
      <c r="A6" s="14" t="s">
        <v>66</v>
      </c>
      <c r="B6" s="13">
        <v>37</v>
      </c>
      <c r="C6" s="13">
        <v>271</v>
      </c>
      <c r="D6" s="13">
        <v>281</v>
      </c>
      <c r="E6" s="13">
        <v>781</v>
      </c>
      <c r="F6" s="13">
        <v>314</v>
      </c>
      <c r="G6" s="13">
        <v>453</v>
      </c>
      <c r="H6" s="13">
        <v>219</v>
      </c>
      <c r="J6" s="13">
        <v>6</v>
      </c>
      <c r="K6" t="s">
        <v>777</v>
      </c>
      <c r="L6" t="s">
        <v>24</v>
      </c>
      <c r="S6" t="str">
        <f>VLOOKUP(R1,S1:T5,2,FALSE)</f>
        <v>Graphit</v>
      </c>
      <c r="AA6">
        <v>1</v>
      </c>
      <c r="AB6" s="13">
        <v>7</v>
      </c>
      <c r="AC6" s="13">
        <v>500</v>
      </c>
      <c r="AD6" s="13">
        <v>1</v>
      </c>
    </row>
    <row r="7" spans="1:46" x14ac:dyDescent="0.25">
      <c r="F7" t="e">
        <f>HLOOKUP(VIONARO!I4,Übersetzung,36,FALSE)</f>
        <v>#N/A</v>
      </c>
      <c r="H7" s="6">
        <v>1</v>
      </c>
      <c r="J7" s="13">
        <v>7</v>
      </c>
      <c r="K7" t="s">
        <v>779</v>
      </c>
      <c r="L7" t="s">
        <v>25</v>
      </c>
      <c r="AA7">
        <v>1</v>
      </c>
      <c r="AB7" s="13">
        <v>8</v>
      </c>
      <c r="AC7" s="13">
        <v>550</v>
      </c>
      <c r="AD7" s="13">
        <v>1</v>
      </c>
    </row>
    <row r="8" spans="1:46" x14ac:dyDescent="0.25">
      <c r="A8">
        <v>16</v>
      </c>
      <c r="C8" t="s">
        <v>67</v>
      </c>
      <c r="E8" t="str">
        <f>HLOOKUP(VIONARO!I4,Sprachen!A2:K43,17,FALSE)</f>
        <v>wkręty</v>
      </c>
      <c r="F8" t="s">
        <v>503</v>
      </c>
      <c r="H8" s="50">
        <v>2</v>
      </c>
      <c r="J8" s="13">
        <v>8</v>
      </c>
      <c r="K8" t="s">
        <v>778</v>
      </c>
      <c r="L8" t="s">
        <v>26</v>
      </c>
      <c r="AA8">
        <v>1</v>
      </c>
      <c r="AB8" s="13">
        <v>9</v>
      </c>
      <c r="AC8" s="13">
        <v>600</v>
      </c>
      <c r="AD8" s="13">
        <v>1</v>
      </c>
      <c r="AP8" t="str">
        <f>HLOOKUP(VIONARO!I4,Sprachen!A2:K46,43,FALSE)</f>
        <v>Dno</v>
      </c>
    </row>
    <row r="9" spans="1:46" x14ac:dyDescent="0.25">
      <c r="A9">
        <v>18</v>
      </c>
      <c r="C9" t="s">
        <v>68</v>
      </c>
      <c r="E9" t="str">
        <f>HLOOKUP(VIONARO!I4,Sprachen!A2:K43,18,FALSE)</f>
        <v>kołki Ø 8 mm</v>
      </c>
      <c r="F9" t="s">
        <v>504</v>
      </c>
      <c r="H9" s="50">
        <v>3</v>
      </c>
      <c r="J9" s="13">
        <v>9</v>
      </c>
      <c r="K9" t="s">
        <v>781</v>
      </c>
      <c r="L9" t="s">
        <v>727</v>
      </c>
      <c r="AB9" s="13">
        <v>10</v>
      </c>
      <c r="AC9" s="13">
        <v>650</v>
      </c>
      <c r="AP9" t="str">
        <f>HLOOKUP(VIONARO!I4,Sprachen!A2:K46,44,FALSE)</f>
        <v>Plecy</v>
      </c>
    </row>
    <row r="10" spans="1:46" x14ac:dyDescent="0.25">
      <c r="A10">
        <v>19</v>
      </c>
      <c r="C10" t="s">
        <v>69</v>
      </c>
      <c r="F10" t="s">
        <v>505</v>
      </c>
      <c r="H10" s="50">
        <v>4</v>
      </c>
      <c r="I10" s="5"/>
      <c r="J10" s="6">
        <v>10</v>
      </c>
      <c r="K10" s="5" t="s">
        <v>1077</v>
      </c>
      <c r="L10" t="s">
        <v>507</v>
      </c>
      <c r="AD10"/>
      <c r="AP10" t="s">
        <v>512</v>
      </c>
      <c r="AQ10" t="s">
        <v>513</v>
      </c>
    </row>
    <row r="11" spans="1:46" x14ac:dyDescent="0.25">
      <c r="C11" t="s">
        <v>70</v>
      </c>
      <c r="F11" t="s">
        <v>506</v>
      </c>
      <c r="I11" s="5"/>
      <c r="J11" s="50">
        <v>11</v>
      </c>
      <c r="K11" s="16" t="s">
        <v>1135</v>
      </c>
      <c r="L11" t="s">
        <v>1080</v>
      </c>
      <c r="AP11">
        <f>VIONARO!I7</f>
        <v>600</v>
      </c>
      <c r="AQ11">
        <f>IF(AP11=0,"",AP11-(VIONARO!I6*2))</f>
        <v>564</v>
      </c>
    </row>
    <row r="12" spans="1:46" ht="15.75" thickBot="1" x14ac:dyDescent="0.3">
      <c r="C12" t="s">
        <v>71</v>
      </c>
      <c r="H12" s="5"/>
      <c r="I12" s="5"/>
      <c r="J12" s="5"/>
      <c r="K12" s="5"/>
      <c r="AB12" s="28" t="s">
        <v>419</v>
      </c>
      <c r="AC12" s="28" t="s">
        <v>420</v>
      </c>
      <c r="AD12" s="28" t="s">
        <v>413</v>
      </c>
      <c r="AE12" s="28" t="s">
        <v>414</v>
      </c>
      <c r="AF12" s="28" t="s">
        <v>415</v>
      </c>
      <c r="AG12" s="28" t="s">
        <v>425</v>
      </c>
      <c r="AH12" s="28" t="s">
        <v>452</v>
      </c>
      <c r="AI12" s="28" t="s">
        <v>453</v>
      </c>
      <c r="AJ12" s="28"/>
      <c r="AK12" s="28" t="s">
        <v>454</v>
      </c>
      <c r="AL12">
        <f>A14</f>
        <v>560</v>
      </c>
    </row>
    <row r="13" spans="1:46" x14ac:dyDescent="0.25">
      <c r="A13" s="1" t="s">
        <v>5</v>
      </c>
      <c r="B13" s="2"/>
      <c r="C13" s="2"/>
      <c r="D13" s="2"/>
      <c r="E13" s="2" t="s">
        <v>6</v>
      </c>
      <c r="F13" s="2" t="s">
        <v>980</v>
      </c>
      <c r="G13" s="3" t="s">
        <v>7</v>
      </c>
      <c r="H13" s="293" t="s">
        <v>64</v>
      </c>
      <c r="I13" s="294"/>
      <c r="J13" s="294"/>
      <c r="K13" s="294"/>
      <c r="L13" s="294"/>
      <c r="M13" s="294"/>
      <c r="N13" s="294"/>
      <c r="O13" s="294"/>
      <c r="P13" s="294"/>
      <c r="Q13" s="294" t="s">
        <v>65</v>
      </c>
      <c r="R13" s="294"/>
      <c r="S13" s="294"/>
      <c r="T13" s="294"/>
      <c r="U13" s="294"/>
      <c r="V13" s="294"/>
      <c r="W13" s="294"/>
      <c r="X13" s="294"/>
      <c r="Y13" s="294"/>
      <c r="Z13" s="295"/>
      <c r="AB13" s="18" t="s">
        <v>424</v>
      </c>
      <c r="AC13" s="39"/>
      <c r="AD13" s="19" t="str">
        <f>VIONARO!O25</f>
        <v>VIONARO H185</v>
      </c>
      <c r="AE13" s="19">
        <f>VIONARO!Q25</f>
        <v>500</v>
      </c>
      <c r="AF13" s="19" t="str">
        <f>VIONARO!$I$9</f>
        <v>Graphit</v>
      </c>
      <c r="AG13" s="2" t="str">
        <f>CONCATENATE(AB13,AC13,AD13,AE13,AF13)</f>
        <v>ZARGENVIONARO H185500Graphit</v>
      </c>
      <c r="AH13" s="2" t="str">
        <f>IF(VIONARO!O25="","0",VLOOKUP(AG13,Artikeldaten!F:H,3,FALSE))</f>
        <v>F135119442</v>
      </c>
      <c r="AI13" s="2" t="str">
        <f>IF(VIONARO!O25="","",VLOOKUP($AH13,Artikeldaten!$H:$K,3,FALSE))</f>
        <v>Vionaro Stahl Zarge H185</v>
      </c>
      <c r="AJ13" s="2" t="str">
        <f>IF(VIONARO!O25="","",VLOOKUP($AH13,Artikeldaten!$H:$K,4,FALSE))</f>
        <v>NL500 graphit  Set VE1/5</v>
      </c>
      <c r="AK13" s="3">
        <f>IF(VIONARO!O25="","",1)</f>
        <v>1</v>
      </c>
      <c r="AL13" s="47" t="s">
        <v>507</v>
      </c>
      <c r="AM13" s="2"/>
      <c r="AN13" s="48" t="s">
        <v>508</v>
      </c>
      <c r="AO13" s="3"/>
      <c r="AP13" s="1"/>
      <c r="AQ13" s="2" t="s">
        <v>514</v>
      </c>
      <c r="AR13" s="2" t="s">
        <v>455</v>
      </c>
      <c r="AS13" s="2" t="s">
        <v>515</v>
      </c>
      <c r="AT13" s="3" t="s">
        <v>454</v>
      </c>
    </row>
    <row r="14" spans="1:46" x14ac:dyDescent="0.25">
      <c r="A14" s="4">
        <f>IF(VIONARO!M25="","A",VIONARO!M25)</f>
        <v>560</v>
      </c>
      <c r="B14" s="5" t="str">
        <f>IF(AND(($A$14&gt;$D$2),($A$14&lt;$E$2),(VIONARO!I8&gt;Formeln!G2)),$A$2,"")</f>
        <v/>
      </c>
      <c r="C14" s="5" t="str">
        <f>IF(B14="","",VLOOKUP(B14,$A$2:$E$6,4,FALSE))</f>
        <v/>
      </c>
      <c r="D14" s="5" t="str">
        <f>IF(C14="","",$A$14-C14)</f>
        <v/>
      </c>
      <c r="E14" s="6" t="str">
        <f>IF(D14="","",IF(D14&gt;122,"x","0"))</f>
        <v/>
      </c>
      <c r="F14" s="5" t="str">
        <f>IF(D14="","",IF(D14&gt;153,"x","0"))</f>
        <v/>
      </c>
      <c r="G14" s="7" t="str">
        <f>IF(D14="","",IF(D14&gt;218,"x","0"))</f>
        <v/>
      </c>
      <c r="H14" s="20" t="s">
        <v>63</v>
      </c>
      <c r="I14" s="21" t="s">
        <v>63</v>
      </c>
      <c r="J14" s="21" t="s">
        <v>63</v>
      </c>
      <c r="K14" s="21" t="s">
        <v>63</v>
      </c>
      <c r="L14" s="23">
        <f>IF(VIONARO!$I$8&gt;452,450,"")</f>
        <v>450</v>
      </c>
      <c r="M14" s="23">
        <f>IF(VIONARO!$I$8&gt;502,500,"")</f>
        <v>500</v>
      </c>
      <c r="N14" s="23" t="str">
        <f>IF(VIONARO!$I$8&gt;552,550,"")</f>
        <v/>
      </c>
      <c r="O14" s="21" t="s">
        <v>63</v>
      </c>
      <c r="P14" s="21" t="s">
        <v>63</v>
      </c>
      <c r="Q14" s="16"/>
      <c r="R14" s="21"/>
      <c r="S14" s="21"/>
      <c r="T14" s="21"/>
      <c r="U14" s="21"/>
      <c r="V14" s="21"/>
      <c r="W14" s="21"/>
      <c r="X14" s="21"/>
      <c r="Y14" s="21"/>
      <c r="Z14" s="22"/>
      <c r="AB14" s="34" t="s">
        <v>424</v>
      </c>
      <c r="AC14" s="38"/>
      <c r="AD14" s="6" t="str">
        <f>VIONARO!S25</f>
        <v>VIONARO H185</v>
      </c>
      <c r="AE14" s="6">
        <f>VIONARO!U25</f>
        <v>450</v>
      </c>
      <c r="AF14" s="6" t="str">
        <f>VIONARO!$I$9</f>
        <v>Graphit</v>
      </c>
      <c r="AG14" s="5" t="str">
        <f t="shared" ref="AG14:AG43" si="0">CONCATENATE(AB14,AC14,AD14,AE14,AF14)</f>
        <v>ZARGENVIONARO H185450Graphit</v>
      </c>
      <c r="AH14" s="5" t="str">
        <f>IF(VIONARO!S25="","0",VLOOKUP(AG14,Artikeldaten!F:H,3,FALSE))</f>
        <v>F135119433</v>
      </c>
      <c r="AI14" s="5" t="str">
        <f>IF(VIONARO!S25="","0",VLOOKUP($AH14,Artikeldaten!$H:$K,3,FALSE))</f>
        <v>Vionaro Stahl Zarge H185</v>
      </c>
      <c r="AJ14" s="5" t="str">
        <f>IF(VIONARO!S25="","0",VLOOKUP($AH14,Artikeldaten!$H:$K,4,FALSE))</f>
        <v>NL450 graphit  Set VE1/5</v>
      </c>
      <c r="AK14" s="35">
        <f>IF(VIONARO!S25="","0",1)</f>
        <v>1</v>
      </c>
      <c r="AL14" s="4">
        <f>VIONARO!Q25</f>
        <v>500</v>
      </c>
      <c r="AM14" s="5"/>
      <c r="AN14" s="5">
        <f>VIONARO!U25</f>
        <v>450</v>
      </c>
      <c r="AO14" s="35" t="str">
        <f>IF('Auswahl Führung'!N25="","",IF(VIONARO!S25="",HLOOKUP(VIONARO!I4,Übersetzung,35,FALSE),""))</f>
        <v/>
      </c>
      <c r="AP14" s="4" t="str">
        <f>CONCATENATE($AP$8," 1A")</f>
        <v>Dno 1A</v>
      </c>
      <c r="AQ14" s="5">
        <f>IF(AP11="",0,IF(AL14=0,"",AL14-11))</f>
        <v>489</v>
      </c>
      <c r="AR14" s="5">
        <f>IF(AP11=0,"",IF(AL14=0,"",AQ11-21))</f>
        <v>543</v>
      </c>
      <c r="AS14" s="5">
        <f>IF(AL14=0,"",IF(AP11=0,"",16))</f>
        <v>16</v>
      </c>
      <c r="AT14" s="35">
        <f>IF(AL14=0,"",IF(AP11=0,"",1))</f>
        <v>1</v>
      </c>
    </row>
    <row r="15" spans="1:46" x14ac:dyDescent="0.25">
      <c r="A15" s="4"/>
      <c r="B15" s="5" t="str">
        <f>IF(AND(($A$14&gt;$D$3),($A$14&lt;$E$3),(VIONARO!I8&gt;Formeln!G3)),$A$3,"")</f>
        <v/>
      </c>
      <c r="C15" s="5" t="str">
        <f>IF(B15="","",VLOOKUP(B15,$A$2:$E$6,4,FALSE))</f>
        <v/>
      </c>
      <c r="D15" s="5" t="str">
        <f>IF(C15="","",$A$14-C15)</f>
        <v/>
      </c>
      <c r="E15" s="6" t="str">
        <f>IF(D15="","",IF(D15&gt;122,"x","0"))</f>
        <v/>
      </c>
      <c r="F15" s="5" t="str">
        <f t="shared" ref="F15:F18" si="1">IF(D15="","",IF(D15&gt;153,"x","0"))</f>
        <v/>
      </c>
      <c r="G15" s="7" t="str">
        <f>IF(D15="","",IF(D15&gt;218,"x","0"))</f>
        <v/>
      </c>
      <c r="H15" s="24">
        <f>IF(VIONARO!$I$8&gt;272,270,"")</f>
        <v>270</v>
      </c>
      <c r="I15" s="23">
        <f>IF(VIONARO!$I$8&gt;302,300,"")</f>
        <v>300</v>
      </c>
      <c r="J15" s="23">
        <f>IF(VIONARO!$I$8&gt;352,350,"")</f>
        <v>350</v>
      </c>
      <c r="K15" s="23">
        <f>IF(VIONARO!$I$8&gt;402,400,"")</f>
        <v>400</v>
      </c>
      <c r="L15" s="23">
        <f>IF(VIONARO!$I$8&gt;452,450,"")</f>
        <v>450</v>
      </c>
      <c r="M15" s="23">
        <f>IF(VIONARO!$I$8&gt;502,500,"")</f>
        <v>500</v>
      </c>
      <c r="N15" s="23" t="str">
        <f>IF(VIONARO!$I$8&gt;552,550,"")</f>
        <v/>
      </c>
      <c r="O15" s="23" t="str">
        <f>IF(VIONARO!$I$8&gt;602,600,"")</f>
        <v/>
      </c>
      <c r="P15" s="23" t="str">
        <f>IF(VIONARO!$I$8&gt;652,650,"")</f>
        <v/>
      </c>
      <c r="Q15" s="16" t="str">
        <f>E19</f>
        <v>VIONARO H89</v>
      </c>
      <c r="R15" s="23">
        <f>IF(AND((VIONARO!$I$8&gt;281),(VIONARO!$Q$25&gt;=270)),270,"")</f>
        <v>270</v>
      </c>
      <c r="S15" s="23">
        <f>IF(AND((VIONARO!$I$8&gt;311),(VIONARO!$Q$25&gt;=300)),300,"")</f>
        <v>300</v>
      </c>
      <c r="T15" s="23">
        <f>IF(AND((VIONARO!$I$8&gt;361),(VIONARO!$Q$25&gt;=350)),350,"")</f>
        <v>350</v>
      </c>
      <c r="U15" s="23">
        <f>IF(AND((VIONARO!$I$8&gt;411),(VIONARO!$Q$25&gt;=400)),400,"")</f>
        <v>400</v>
      </c>
      <c r="V15" s="23">
        <f>IF(AND((VIONARO!$I$8&gt;461),(VIONARO!$Q$25&gt;=450)),450,"")</f>
        <v>450</v>
      </c>
      <c r="W15" s="23" t="str">
        <f>IF(AND((VIONARO!$I$8&gt;511),(VIONARO!$Q$25&gt;=500)),500,"")</f>
        <v/>
      </c>
      <c r="X15" s="23" t="str">
        <f>IF(AND((VIONARO!$I$8&gt;561),(VIONARO!$Q$25&gt;=550)),550,"")</f>
        <v/>
      </c>
      <c r="Y15" s="23" t="str">
        <f>IF(AND((VIONARO!$I$8&gt;611),(VIONARO!$Q$25&gt;=600)),600,"")</f>
        <v/>
      </c>
      <c r="Z15" s="25" t="str">
        <f>IF(AND((VIONARO!$I$8&gt;661),(VIONARO!$Q$25&gt;=650)),650,"")</f>
        <v/>
      </c>
      <c r="AB15" s="36" t="s">
        <v>418</v>
      </c>
      <c r="AC15" s="6" t="str">
        <f>VLOOKUP('Auswahl Führung'!T25,$AC$46:$AD$63,2,FALSE)</f>
        <v>Anschrauben</v>
      </c>
      <c r="AD15" s="6" t="str">
        <f>VIONARO!O25</f>
        <v>VIONARO H185</v>
      </c>
      <c r="AE15" s="38"/>
      <c r="AF15" s="6" t="str">
        <f>VIONARO!$I$9</f>
        <v>Graphit</v>
      </c>
      <c r="AG15" s="5" t="str">
        <f t="shared" si="0"/>
        <v>BefestigungAnschraubenVIONARO H185Graphit</v>
      </c>
      <c r="AH15" s="5" t="str">
        <f>IF(VIONARO!O25="","0",VLOOKUP(AG15,Artikeldaten!F:H,3,FALSE))</f>
        <v>F136100312</v>
      </c>
      <c r="AI15" s="5" t="str">
        <f>IF(VIONARO!O25="","",VLOOKUP($AH15,Artikeldaten!$H:$K,3,FALSE))</f>
        <v>Vionaro Zubehör-Set H185</v>
      </c>
      <c r="AJ15" s="5" t="str">
        <f>IF(VIONARO!O25="","",VLOOKUP($AH15,Artikeldaten!$H:$K,4,FALSE))</f>
        <v>Graphit z. Anschr. VPE 50</v>
      </c>
      <c r="AK15" s="35">
        <f>IF(VIONARO!O25="","0",1)</f>
        <v>1</v>
      </c>
      <c r="AL15" s="4"/>
      <c r="AM15" s="5" t="str">
        <f>IF(OR(AL14=270,AL14=300,AL14=350,AL14=400,AL14=450,AL14=500,AL14=550,AL14=600),"SOFT-CLOSE 40KG","")</f>
        <v>SOFT-CLOSE 40KG</v>
      </c>
      <c r="AN15" s="5"/>
      <c r="AO15" s="35" t="str">
        <f>IF(OR(AN14=270,AN14=300,AN14=350,AN14=400,AN14=450,AN14=500,AN14=550,AN14=600),"SOFT-CLOSE 40KG","")</f>
        <v>SOFT-CLOSE 40KG</v>
      </c>
      <c r="AP15" s="4" t="str">
        <f>CONCATENATE($AP$9," 1A")</f>
        <v>Plecy 1A</v>
      </c>
      <c r="AQ15" s="5">
        <f>IF(AP11=0,"",IF(AL14=0,"",(VLOOKUP(VIONARO!O25,Formeln!$A$2:$H$6,8,FALSE))))</f>
        <v>155</v>
      </c>
      <c r="AR15" s="5">
        <f>IF(AP11=0,"",IF(AL14=0,"",AQ11-42))</f>
        <v>522</v>
      </c>
      <c r="AS15" s="5">
        <f>IF(AL14=0,"",IF(AP11=0,"",16))</f>
        <v>16</v>
      </c>
      <c r="AT15" s="35">
        <f>IF(AL14=0,"",IF(AP11=0,"",1))</f>
        <v>1</v>
      </c>
    </row>
    <row r="16" spans="1:46" ht="15.75" thickBot="1" x14ac:dyDescent="0.3">
      <c r="A16" s="4"/>
      <c r="B16" s="5" t="str">
        <f>IF(AND(($A$14&gt;$D$4),($A$14&lt;$E$4),(VIONARO!I8&gt;Formeln!G4)),$A$4,"")</f>
        <v/>
      </c>
      <c r="C16" s="5" t="str">
        <f>IF(B16="","",VLOOKUP(B16,$A$2:$E$6,4,FALSE))</f>
        <v/>
      </c>
      <c r="D16" s="5" t="str">
        <f>IF(C16="","",$A$14-C16)</f>
        <v/>
      </c>
      <c r="E16" s="6" t="str">
        <f>IF(D16="","",IF(D16&gt;122,"x","0"))</f>
        <v/>
      </c>
      <c r="F16" s="5" t="str">
        <f t="shared" si="1"/>
        <v/>
      </c>
      <c r="G16" s="7" t="str">
        <f>IF(D16="","",IF(D16&gt;218,"x","0"))</f>
        <v/>
      </c>
      <c r="H16" s="20" t="s">
        <v>63</v>
      </c>
      <c r="I16" s="21" t="s">
        <v>63</v>
      </c>
      <c r="J16" s="23">
        <f>IF(VIONARO!$I$8&gt;352,350,"")</f>
        <v>350</v>
      </c>
      <c r="K16" s="23">
        <f>IF(VIONARO!$I$8&gt;402,400,"")</f>
        <v>400</v>
      </c>
      <c r="L16" s="23">
        <f>IF(VIONARO!$I$8&gt;452,450,"")</f>
        <v>450</v>
      </c>
      <c r="M16" s="23">
        <f>IF(VIONARO!$I$8&gt;502,500,"")</f>
        <v>500</v>
      </c>
      <c r="N16" s="23" t="str">
        <f>IF(VIONARO!$I$8&gt;552,550,"")</f>
        <v/>
      </c>
      <c r="O16" s="21" t="s">
        <v>63</v>
      </c>
      <c r="P16" s="21" t="s">
        <v>63</v>
      </c>
      <c r="Q16" s="16" t="str">
        <f>F19</f>
        <v>VIONARO H121</v>
      </c>
      <c r="R16" s="21" t="s">
        <v>63</v>
      </c>
      <c r="S16" s="21" t="s">
        <v>63</v>
      </c>
      <c r="T16" s="23">
        <f>IF(AND((VIONARO!$I$8&gt;361),(VIONARO!$Q$25&gt;=350)),350,"")</f>
        <v>350</v>
      </c>
      <c r="U16" s="23">
        <f>IF(AND((VIONARO!$I$8&gt;411),(VIONARO!$Q$25&gt;=400)),400,"")</f>
        <v>400</v>
      </c>
      <c r="V16" s="23">
        <f>IF(AND((VIONARO!$I$8&gt;461),(VIONARO!$Q$25&gt;=450)),450,"")</f>
        <v>450</v>
      </c>
      <c r="W16" s="23" t="str">
        <f>IF(AND((VIONARO!$I$8&gt;511),(VIONARO!$Q$25&gt;=500)),500,"")</f>
        <v/>
      </c>
      <c r="X16" s="23" t="str">
        <f>IF(AND((VIONARO!$I$8&gt;561),(VIONARO!$Q$25&gt;=550)),550,"")</f>
        <v/>
      </c>
      <c r="Y16" s="21" t="s">
        <v>63</v>
      </c>
      <c r="Z16" s="22" t="s">
        <v>63</v>
      </c>
      <c r="AB16" s="36" t="s">
        <v>418</v>
      </c>
      <c r="AC16" s="29" t="s">
        <v>417</v>
      </c>
      <c r="AD16" s="6" t="str">
        <f>VIONARO!S25</f>
        <v>VIONARO H185</v>
      </c>
      <c r="AE16" s="38"/>
      <c r="AF16" s="6" t="str">
        <f>VIONARO!$I$9</f>
        <v>Graphit</v>
      </c>
      <c r="AG16" s="5" t="str">
        <f t="shared" si="0"/>
        <v>BefestigungInnenblendeVIONARO H185Graphit</v>
      </c>
      <c r="AH16" s="5" t="str">
        <f>IF(VIONARO!S25="","0",VLOOKUP(AG16,Artikeldaten!F:H,3,FALSE))</f>
        <v>F136100319</v>
      </c>
      <c r="AI16" s="5" t="str">
        <f>IF(VIONARO!S25="","0",VLOOKUP($AH16,Artikeldaten!$H:$K,3,FALSE))</f>
        <v>Vionaro Zubehör-Set Innenbl.</v>
      </c>
      <c r="AJ16" s="5" t="str">
        <f>IF(VIONARO!S25="","0",VLOOKUP($AH16,Artikeldaten!$H:$K,4,FALSE))</f>
        <v>Graphit H185 VPE 50</v>
      </c>
      <c r="AK16" s="35">
        <f>IF(VIONARO!S25="","0",1)</f>
        <v>1</v>
      </c>
      <c r="AL16" s="4"/>
      <c r="AM16" s="5" t="str">
        <f>IF(AND(OR(AL14=450,AL14=500,AL14=550,AL14=600,AL14=650),BC18&lt;&gt;"VIONARO H63"),IF(AND(BC18&lt;&gt;"VIONARO H185",BC18&lt;&gt;"VIONARO H249"),IF(AL12&lt;261,"SOFT-CLOSE 70KG",""),"SOFT-CLOSE 70KG"),"")</f>
        <v>SOFT-CLOSE 70KG</v>
      </c>
      <c r="AN16" s="5"/>
      <c r="AO16" s="35" t="str">
        <f>IF(OR(AN14=450,AN14=500,AN14=550,AN14=600,AN14=650),"SOFT-CLOSE 70KG","")</f>
        <v>SOFT-CLOSE 70KG</v>
      </c>
      <c r="AP16" s="4" t="str">
        <f>CONCATENATE($AP$8," 1B")</f>
        <v>Dno 1B</v>
      </c>
      <c r="AQ16" s="5">
        <f>IF(AN14="",0,IF(AP11=0,"",AN14-11))</f>
        <v>439</v>
      </c>
      <c r="AR16" s="5">
        <f>IF(AN14=0,"",IF(AQ11="","",AQ11-21))</f>
        <v>543</v>
      </c>
      <c r="AS16" s="5">
        <f>IF(AN14=0,"",16)</f>
        <v>16</v>
      </c>
      <c r="AT16" s="35">
        <f>IF(AN14=0,"",1)</f>
        <v>1</v>
      </c>
    </row>
    <row r="17" spans="1:63" ht="15.75" thickBot="1" x14ac:dyDescent="0.3">
      <c r="A17" s="4"/>
      <c r="B17" s="5" t="str">
        <f>IF(AND(($A$14&gt;$D$5),($A$14&lt;$E$5),(VIONARO!I8&gt;Formeln!G5)),$A$5,"")</f>
        <v>VIONARO H185</v>
      </c>
      <c r="C17" s="5">
        <f>IF(B17="","",VLOOKUP(B17,$A$2:$E$6,4,FALSE))</f>
        <v>217</v>
      </c>
      <c r="D17" s="5">
        <f>IF(C17="","",$A$14-C17)</f>
        <v>343</v>
      </c>
      <c r="E17" s="6" t="str">
        <f>IF(D17="","",IF(D17&gt;122,"x","0"))</f>
        <v>x</v>
      </c>
      <c r="F17" s="5" t="str">
        <f t="shared" si="1"/>
        <v>x</v>
      </c>
      <c r="G17" s="7" t="str">
        <f>IF(D17="","",IF(D17&gt;218,"x","0"))</f>
        <v>x</v>
      </c>
      <c r="H17" s="24">
        <f>IF(VIONARO!$I$8&gt;272,270,"")</f>
        <v>270</v>
      </c>
      <c r="I17" s="23">
        <f>IF(VIONARO!$I$8&gt;302,300,"")</f>
        <v>300</v>
      </c>
      <c r="J17" s="23">
        <f>IF(VIONARO!$I$8&gt;352,350,"")</f>
        <v>350</v>
      </c>
      <c r="K17" s="23">
        <f>IF(VIONARO!$I$8&gt;402,400,"")</f>
        <v>400</v>
      </c>
      <c r="L17" s="23">
        <f>IF(VIONARO!$I$8&gt;452,450,"")</f>
        <v>450</v>
      </c>
      <c r="M17" s="23">
        <f>IF(VIONARO!$I$8&gt;502,500,"")</f>
        <v>500</v>
      </c>
      <c r="N17" s="23" t="str">
        <f>IF(VIONARO!$I$8&gt;552,550,"")</f>
        <v/>
      </c>
      <c r="O17" s="23" t="str">
        <f>IF(VIONARO!$I$8&gt;602,600,"")</f>
        <v/>
      </c>
      <c r="P17" s="23" t="str">
        <f>IF(VIONARO!$I$8&gt;652,650,"")</f>
        <v/>
      </c>
      <c r="Q17" s="16" t="str">
        <f>G19</f>
        <v>VIONARO H185</v>
      </c>
      <c r="R17" s="23">
        <f>IF(AND((VIONARO!$I$8&gt;281),(VIONARO!$Q$25&gt;=270)),270,"")</f>
        <v>270</v>
      </c>
      <c r="S17" s="23">
        <f>IF(AND((VIONARO!$I$8&gt;311),(VIONARO!$Q$25&gt;=300)),300,"")</f>
        <v>300</v>
      </c>
      <c r="T17" s="23">
        <f>IF(AND((VIONARO!$I$8&gt;361),(VIONARO!$Q$25&gt;=350)),350,"")</f>
        <v>350</v>
      </c>
      <c r="U17" s="23">
        <f>IF(AND((VIONARO!$I$8&gt;411),(VIONARO!$Q$25&gt;=400)),400,"")</f>
        <v>400</v>
      </c>
      <c r="V17" s="23">
        <f>IF(AND((VIONARO!$I$8&gt;461),(VIONARO!$Q$25&gt;=450)),450,"")</f>
        <v>450</v>
      </c>
      <c r="W17" s="23" t="str">
        <f>IF(AND((VIONARO!$I$8&gt;511),(VIONARO!$Q$25&gt;=500)),500,"")</f>
        <v/>
      </c>
      <c r="X17" s="23" t="str">
        <f>IF(AND((VIONARO!$I$8&gt;561),(VIONARO!$Q$25&gt;=550)),550,"")</f>
        <v/>
      </c>
      <c r="Y17" s="23" t="str">
        <f>IF(AND((VIONARO!$I$8&gt;611),(VIONARO!$Q$25&gt;=600)),600,"")</f>
        <v/>
      </c>
      <c r="Z17" s="25" t="str">
        <f>IF(AND((VIONARO!$I$8&gt;661),(VIONARO!$Q$25&gt;=650)),650,"")</f>
        <v/>
      </c>
      <c r="AB17" s="36" t="s">
        <v>417</v>
      </c>
      <c r="AC17" s="38"/>
      <c r="AD17" s="6" t="str">
        <f>VIONARO!S25</f>
        <v>VIONARO H185</v>
      </c>
      <c r="AE17" s="38"/>
      <c r="AF17" s="6" t="str">
        <f>VIONARO!$I$9</f>
        <v>Graphit</v>
      </c>
      <c r="AG17" s="5" t="str">
        <f t="shared" si="0"/>
        <v>InnenblendeVIONARO H185Graphit</v>
      </c>
      <c r="AH17" s="5" t="str">
        <f>IF(VIONARO!S25="","0",VLOOKUP(AG17,Artikeldaten!F:H,3,FALSE))</f>
        <v>F136120539</v>
      </c>
      <c r="AI17" s="5" t="str">
        <f>IF(VIONARO!S25="","0",VLOOKUP($AH17,Artikeldaten!$H:$K,3,FALSE))</f>
        <v>Vionaro Innenblende H185</v>
      </c>
      <c r="AJ17" s="5" t="str">
        <f>IF(VIONARO!S25="","0",VLOOKUP($AH17,Artikeldaten!$H:$K,4,FALSE))</f>
        <v>1160 graphit z. Abläng. VE1/10</v>
      </c>
      <c r="AK17" s="35">
        <f>IF(VIONARO!S25="","0",1)</f>
        <v>1</v>
      </c>
      <c r="AL17" s="4"/>
      <c r="AM17" s="5" t="str">
        <f>IF(OR(AL14=270,AL14=300,AL14=350,AL14=400,AL14=450,AL14=500,AL14=550),"TIPMATIC 40KG","")</f>
        <v>TIPMATIC 40KG</v>
      </c>
      <c r="AN17" s="5"/>
      <c r="AO17" s="35" t="str">
        <f>IF(OR(AN14=270,AN14=300,AN14=350,AN14=400,AN14=450,AN14=500,AN14=550),"TIPMATIC 40KG","")</f>
        <v>TIPMATIC 40KG</v>
      </c>
      <c r="AP17" s="4" t="str">
        <f>CONCATENATE($AP$9," 1B")</f>
        <v>Plecy 1B</v>
      </c>
      <c r="AQ17" s="5">
        <f>IF(AN14="",0,IF(AP11="","",(VLOOKUP(VIONARO!S25,Formeln!$A$2:$H$6,8,FALSE))))</f>
        <v>155</v>
      </c>
      <c r="AR17" s="5">
        <f>IF(AN14=0,"",IF(AQ11="","",AQ11-42))</f>
        <v>522</v>
      </c>
      <c r="AS17" s="5">
        <f>IF(AN14=0,"",16)</f>
        <v>16</v>
      </c>
      <c r="AT17" s="35">
        <f>IF(AN14=0,"",1)</f>
        <v>1</v>
      </c>
      <c r="BC17" t="str">
        <f>CONCATENATE(HLOOKUP(VIONARO!I4,Sprachen!A2:K56,55,FALSE)," A")</f>
        <v>Front A</v>
      </c>
      <c r="BG17" s="1" t="s">
        <v>946</v>
      </c>
      <c r="BH17" s="3" t="s">
        <v>947</v>
      </c>
      <c r="BI17" t="s">
        <v>455</v>
      </c>
      <c r="BJ17" t="s">
        <v>413</v>
      </c>
    </row>
    <row r="18" spans="1:63" ht="15.75" thickBot="1" x14ac:dyDescent="0.3">
      <c r="A18" s="4"/>
      <c r="B18" s="5" t="str">
        <f>IF(AND(($A$14&gt;$D$6),($A$14&lt;$E$6),(VIONARO!I8&gt;Formeln!G6)),$A$6,"")</f>
        <v>VIONARO H249</v>
      </c>
      <c r="C18" s="16">
        <f>IF(B18="","",VLOOKUP(B18,$A$2:$E$6,4,FALSE))</f>
        <v>281</v>
      </c>
      <c r="D18" s="16">
        <f>IF(C18="","",$A$14-C18)</f>
        <v>279</v>
      </c>
      <c r="E18" s="6" t="str">
        <f>IF(D18="","",IF(D18&gt;122,"x","0"))</f>
        <v>x</v>
      </c>
      <c r="F18" s="5" t="str">
        <f t="shared" si="1"/>
        <v>x</v>
      </c>
      <c r="G18" s="7" t="str">
        <f>IF(D18="","",IF(D18&gt;218,"x","0"))</f>
        <v>x</v>
      </c>
      <c r="H18" s="20" t="s">
        <v>63</v>
      </c>
      <c r="I18" s="21" t="s">
        <v>63</v>
      </c>
      <c r="J18" s="21" t="s">
        <v>63</v>
      </c>
      <c r="K18" s="21" t="s">
        <v>63</v>
      </c>
      <c r="L18" s="23">
        <f>IF(VIONARO!$I$8&gt;452,450,"")</f>
        <v>450</v>
      </c>
      <c r="M18" s="23">
        <f>IF(VIONARO!$I$8&gt;502,500,"")</f>
        <v>500</v>
      </c>
      <c r="N18" s="23" t="str">
        <f>IF(VIONARO!$I$8&gt;552,550,"")</f>
        <v/>
      </c>
      <c r="O18" s="23" t="str">
        <f>IF(VIONARO!$I$8&gt;602,600,"")</f>
        <v/>
      </c>
      <c r="P18" s="21" t="s">
        <v>63</v>
      </c>
      <c r="Q18" s="16"/>
      <c r="R18" s="21" t="s">
        <v>63</v>
      </c>
      <c r="S18" s="21"/>
      <c r="T18" s="21"/>
      <c r="U18" s="21"/>
      <c r="V18" s="21"/>
      <c r="W18" s="21"/>
      <c r="X18" s="21"/>
      <c r="Y18" s="21"/>
      <c r="Z18" s="22"/>
      <c r="AB18" s="34" t="s">
        <v>426</v>
      </c>
      <c r="AC18" s="6" t="str">
        <f>'Auswahl Führung'!P25</f>
        <v>SOFT-CLOSE 40KG</v>
      </c>
      <c r="AD18" s="38"/>
      <c r="AE18" s="6">
        <f>AE13</f>
        <v>500</v>
      </c>
      <c r="AF18" s="38"/>
      <c r="AG18" s="5" t="str">
        <f t="shared" si="0"/>
        <v>FührungSOFT-CLOSE 40KG500</v>
      </c>
      <c r="AH18" s="5" t="str">
        <f>IF(VIONARO!O25="","0",VLOOKUP(AG18,Artikeldaten!F:H,3,FALSE))</f>
        <v>F130116024</v>
      </c>
      <c r="AI18" s="5" t="str">
        <f>IF(VIONARO!O25="","",VLOOKUP($AH18,Artikeldaten!$H:$K,3,FALSE))</f>
        <v>Dynapro ST LN500 40 3D</v>
      </c>
      <c r="AJ18" s="5" t="str">
        <f>IF(VIONARO!O25="","0",VLOOKUP($AH18,Artikeldaten!$H:$K,4,FALSE))</f>
        <v>Soft-Close</v>
      </c>
      <c r="AK18" s="35">
        <f>IF(VIONARO!O25="","",1)</f>
        <v>1</v>
      </c>
      <c r="AL18" s="8"/>
      <c r="AM18" s="9" t="str">
        <f>IF(AND(OR(AL14=450,AL14=500,AL14=550,AL14=600,AL14=650),BC18&lt;&gt;"VIONARO H63"),IF(AND(BC18&lt;&gt;"VIONARO H185",BC18&lt;&gt;"VIONARO H249"),IF(AL12&lt;261,"TIPMATIC 60KG",""),"TIPMATIC 60KG"),"")</f>
        <v>TIPMATIC 60KG</v>
      </c>
      <c r="AN18" s="9"/>
      <c r="AO18" s="15" t="str">
        <f>IF(OR(AN14=450,AN14=500,AN14=550,AN14=600,AN14=650),"TIPMATIC 60KG","")</f>
        <v>TIPMATIC 60KG</v>
      </c>
      <c r="AP18" s="8"/>
      <c r="AQ18" s="9"/>
      <c r="AR18" s="9"/>
      <c r="AS18" s="9"/>
      <c r="AT18" s="9"/>
      <c r="AU18" s="1" t="str">
        <f>(AC18)</f>
        <v>SOFT-CLOSE 40KG</v>
      </c>
      <c r="AV18" s="2">
        <f>AE18</f>
        <v>500</v>
      </c>
      <c r="AW18" s="2" t="str">
        <f>CONCATENATE(AU18,AV18)</f>
        <v>SOFT-CLOSE 40KG500</v>
      </c>
      <c r="AX18" s="2">
        <f>IF(AU18="","--",VLOOKUP($AW18,$C$59:$H$84,2,FALSE))</f>
        <v>37</v>
      </c>
      <c r="AY18" s="2">
        <f>IF(AU18="","--",VLOOKUP($AW18,$C$59:$H$84,3,FALSE))</f>
        <v>32</v>
      </c>
      <c r="AZ18" s="2">
        <f>IF(AU18="","--",VLOOKUP($AW18,$C$59:$H$84,4,FALSE))</f>
        <v>256</v>
      </c>
      <c r="BA18" s="2">
        <f>IF(AU18="","--",VLOOKUP($AW18,$C$59:$H$84,5,FALSE))</f>
        <v>288</v>
      </c>
      <c r="BB18" s="3" t="str">
        <f>IF(AU18="","--",VLOOKUP($AW18,$C$59:$H$84,6,FALSE))</f>
        <v>--</v>
      </c>
      <c r="BC18" s="161" t="str">
        <f>AD13</f>
        <v>VIONARO H185</v>
      </c>
      <c r="BD18" s="162">
        <f>IF(BC18="","-",VLOOKUP($BC$18,$A$87:$D$91,2,FALSE))</f>
        <v>31</v>
      </c>
      <c r="BE18" s="162">
        <f>IF(BC18="","-",VLOOKUP($BC$18,$A$87:$D$91,3,FALSE))</f>
        <v>32</v>
      </c>
      <c r="BF18" s="162">
        <f>IF(BC18="","-",VLOOKUP($BC$18,$A$87:$D$91,4,FALSE))</f>
        <v>96</v>
      </c>
      <c r="BG18" s="165">
        <f>'VIO2'!E23</f>
        <v>1</v>
      </c>
      <c r="BH18" s="35">
        <f>'VIO2'!AC23</f>
        <v>1</v>
      </c>
      <c r="BI18" s="168">
        <f>IF(BC18="","-",VIONARO!$I$7-(Formeln!$BG$18+Formeln!$BH$18))</f>
        <v>598</v>
      </c>
      <c r="BJ18" s="169">
        <f>IF(BC18="","-",VIONARO!M25)</f>
        <v>560</v>
      </c>
    </row>
    <row r="19" spans="1:63" ht="15.75" thickBot="1" x14ac:dyDescent="0.3">
      <c r="A19" s="8"/>
      <c r="B19" s="9"/>
      <c r="C19" s="9"/>
      <c r="D19" s="9"/>
      <c r="E19" s="10" t="str">
        <f>IF(IF(VIONARO!O25="","",VLOOKUP(VIONARO!O25,Formeln!B14:G18,4,FALSE))="x","VIONARO H89","")</f>
        <v>VIONARO H89</v>
      </c>
      <c r="F19" s="9" t="str">
        <f>IF(IF(VIONARO!O25="","",VLOOKUP(VIONARO!O25,Formeln!B14:G18,5,FALSE))="x","VIONARO H121","")</f>
        <v>VIONARO H121</v>
      </c>
      <c r="G19" s="11" t="str">
        <f>IF(IF(VIONARO!O25="","",VLOOKUP(VIONARO!O25,Formeln!B14:G18,6,FALSE))="x","VIONARO H185","")</f>
        <v>VIONARO H185</v>
      </c>
      <c r="H19" s="8">
        <f>IF(VIONARO!O25="","",VLOOKUP(VIONARO!$O$25,Formeln!$B$14:$P$18,7,FALSE))</f>
        <v>270</v>
      </c>
      <c r="I19" s="9">
        <f>IF(VIONARO!O25="","",VLOOKUP(VIONARO!$O$25,Formeln!$B$14:$P$18,8,FALSE))</f>
        <v>300</v>
      </c>
      <c r="J19" s="9">
        <f>IF(VIONARO!O25="","",VLOOKUP(VIONARO!$O$25,Formeln!$B$14:$P$18,9,FALSE))</f>
        <v>350</v>
      </c>
      <c r="K19" s="9">
        <f>IF(VIONARO!O25="","",VLOOKUP(VIONARO!$O$25,Formeln!$B$14:$P$18,10,FALSE))</f>
        <v>400</v>
      </c>
      <c r="L19" s="9">
        <f>IF(VIONARO!O25="","",VLOOKUP(VIONARO!$O$25,Formeln!$B$14:$P$18,11,FALSE))</f>
        <v>450</v>
      </c>
      <c r="M19" s="9">
        <f>IF(VIONARO!O25="","",VLOOKUP(VIONARO!$O$25,Formeln!$B$14:$P$18,12,FALSE))</f>
        <v>500</v>
      </c>
      <c r="N19" s="9" t="str">
        <f>IF(VIONARO!O25="","",VLOOKUP(VIONARO!$O$25,Formeln!$B$14:$P$18,13,FALSE))</f>
        <v/>
      </c>
      <c r="O19" s="9" t="str">
        <f>IF(VIONARO!O25="","",VLOOKUP(VIONARO!$O$25,Formeln!$B$14:$P$18,14,FALSE))</f>
        <v/>
      </c>
      <c r="P19" s="9" t="str">
        <f>IF(VIONARO!O25="","",VLOOKUP(VIONARO!$O$25,Formeln!$B$14:$P$18,15,FALSE))</f>
        <v/>
      </c>
      <c r="Q19" s="17"/>
      <c r="R19" s="9">
        <f>IF(VIONARO!S25="","",VLOOKUP(VIONARO!$S$25,$Q$14:$Z$18,2,FALSE))</f>
        <v>270</v>
      </c>
      <c r="S19" s="9">
        <f>IF(VIONARO!S25="","",VLOOKUP(VIONARO!$S$25,$Q$14:$Z$18,3,FALSE))</f>
        <v>300</v>
      </c>
      <c r="T19" s="9">
        <f>IF(VIONARO!S25="","",VLOOKUP(VIONARO!$S$25,$Q$14:$Z$18,4,FALSE))</f>
        <v>350</v>
      </c>
      <c r="U19" s="9">
        <f>IF(VIONARO!S25="","",VLOOKUP(VIONARO!$S$25,$Q$14:$Z$18,5,FALSE))</f>
        <v>400</v>
      </c>
      <c r="V19" s="9">
        <f>IF(VIONARO!S25="","",VLOOKUP(VIONARO!$S$25,$Q$14:$Z$18,6,FALSE))</f>
        <v>450</v>
      </c>
      <c r="W19" s="9" t="str">
        <f>IF(VIONARO!S25="","",VLOOKUP(VIONARO!$S$25,$Q$14:$Z$18,7,FALSE))</f>
        <v/>
      </c>
      <c r="X19" s="9" t="str">
        <f>IF(VIONARO!S25="","",VLOOKUP(VIONARO!$S$25,$Q$14:$Z$18,8,FALSE))</f>
        <v/>
      </c>
      <c r="Y19" s="9" t="str">
        <f>IF(VIONARO!S25="","",VLOOKUP(VIONARO!$S$25,$Q$14:$Z$18,9,FALSE))</f>
        <v/>
      </c>
      <c r="Z19" s="15" t="str">
        <f>IF(VIONARO!S25="","",VLOOKUP(VIONARO!$S$25,$Q$14:$Z$18,10,FALSE))</f>
        <v/>
      </c>
      <c r="AB19" s="37" t="s">
        <v>426</v>
      </c>
      <c r="AC19" s="10" t="str">
        <f>'Auswahl Führung'!R25</f>
        <v>SOFT-CLOSE 40KG</v>
      </c>
      <c r="AD19" s="40"/>
      <c r="AE19" s="10">
        <f>AE14</f>
        <v>450</v>
      </c>
      <c r="AF19" s="40"/>
      <c r="AG19" s="9" t="str">
        <f t="shared" si="0"/>
        <v>FührungSOFT-CLOSE 40KG450</v>
      </c>
      <c r="AH19" s="9" t="str">
        <f>IF(VIONARO!S25="","0",VLOOKUP(AG19,Artikeldaten!F:H,3,FALSE))</f>
        <v>F130116022</v>
      </c>
      <c r="AI19" s="9" t="str">
        <f>IF(VIONARO!S25="","0",VLOOKUP($AH19,Artikeldaten!$H:$K,3,FALSE))</f>
        <v>Dynapro ST LN450 40 3D</v>
      </c>
      <c r="AJ19" s="9" t="str">
        <f>IF(VIONARO!S25="","0",VLOOKUP($AH19,Artikeldaten!$H:$K,4,FALSE))</f>
        <v>Soft-Close</v>
      </c>
      <c r="AK19" s="15">
        <f>IF(VIONARO!S25="","0",1)</f>
        <v>1</v>
      </c>
      <c r="AU19" s="8" t="str">
        <f>AC19</f>
        <v>SOFT-CLOSE 40KG</v>
      </c>
      <c r="AV19" s="9">
        <f>AE19</f>
        <v>450</v>
      </c>
      <c r="AW19" s="9" t="str">
        <f>CONCATENATE(AU19,AV19)</f>
        <v>SOFT-CLOSE 40KG450</v>
      </c>
      <c r="AX19" s="9">
        <f>IF(AU19="","--",VLOOKUP($AW19,$C$59:$H$84,2,FALSE))</f>
        <v>37</v>
      </c>
      <c r="AY19" s="9">
        <f>IF(AU19="","--",VLOOKUP($AW19,$C$59:$H$84,3,FALSE))</f>
        <v>32</v>
      </c>
      <c r="AZ19" s="9">
        <f>IF(AU19="","--",VLOOKUP($AW19,$C$59:$H$84,4,FALSE))</f>
        <v>192</v>
      </c>
      <c r="BA19" s="9">
        <f>IF(AU19="","--",VLOOKUP($AW19,$C$59:$H$84,5,FALSE))</f>
        <v>224</v>
      </c>
      <c r="BB19" s="15" t="str">
        <f>IF(AU19="","--",VLOOKUP($AW19,$C$59:$H$84,6,FALSE))</f>
        <v>--</v>
      </c>
      <c r="BC19" t="str">
        <f>IF(BC18="","-",IF(AC15="Spreizdübel Ø 8 mm",(CONCATENATE("Ø ",8," mm")),(CONCATENATE("Ø ",3," mm"))))</f>
        <v>Ø 3 mm</v>
      </c>
      <c r="BD19" s="164">
        <f>IF(BC18="","",(VIONARO!I6+28.5+BD18)-VIONARO!M26)</f>
        <v>75.5</v>
      </c>
      <c r="BE19" s="164">
        <f>BE18</f>
        <v>32</v>
      </c>
      <c r="BF19" s="164">
        <f>BF18</f>
        <v>96</v>
      </c>
      <c r="BG19" s="166">
        <f>IF(BC18="","-",14.5+(VIONARO!$I$6-$BG$18))</f>
        <v>31.5</v>
      </c>
      <c r="BH19" s="167">
        <f>IF(BC18="","-",14.5+(VIONARO!$I$6-Formeln!$BH$18))</f>
        <v>31.5</v>
      </c>
    </row>
    <row r="20" spans="1:63" ht="15.75" thickBot="1" x14ac:dyDescent="0.3">
      <c r="H20" s="5"/>
      <c r="I20" s="5"/>
      <c r="J20" s="5"/>
      <c r="K20" s="5"/>
      <c r="AE20" s="13"/>
      <c r="AF20" s="13"/>
      <c r="AG20" t="str">
        <f t="shared" si="0"/>
        <v/>
      </c>
      <c r="AL20">
        <f>A22</f>
        <v>140</v>
      </c>
      <c r="AX20" t="str">
        <f>IF(OR(AX19="--",AY19="--",AZ19="--",BA19="--",BB19="--",AX18="--",AY18="--",AZ18="--",BA18="--",BB18="--"),$A$45,"")</f>
        <v>-- = Wiercenie niewymagane</v>
      </c>
      <c r="BC20" t="str">
        <f>IF(OR(BC18="VIONARO H185",BC18="VIONARO H249"),"Ø 8 mm","--")</f>
        <v>Ø 8 mm</v>
      </c>
      <c r="BD20" t="str">
        <f>IF(OR(BD19="--",BE19="--",BF19="--"),$A$45,"")</f>
        <v/>
      </c>
    </row>
    <row r="21" spans="1:63" x14ac:dyDescent="0.25">
      <c r="A21" s="1" t="s">
        <v>11</v>
      </c>
      <c r="B21" s="2"/>
      <c r="C21" s="2"/>
      <c r="D21" s="2"/>
      <c r="E21" s="2" t="s">
        <v>6</v>
      </c>
      <c r="F21" s="2" t="s">
        <v>980</v>
      </c>
      <c r="G21" s="3" t="s">
        <v>7</v>
      </c>
      <c r="H21" s="293" t="s">
        <v>64</v>
      </c>
      <c r="I21" s="294"/>
      <c r="J21" s="294"/>
      <c r="K21" s="294"/>
      <c r="L21" s="294"/>
      <c r="M21" s="294"/>
      <c r="N21" s="294"/>
      <c r="O21" s="294"/>
      <c r="P21" s="294"/>
      <c r="Q21" s="294" t="s">
        <v>65</v>
      </c>
      <c r="R21" s="294"/>
      <c r="S21" s="294"/>
      <c r="T21" s="294"/>
      <c r="U21" s="294"/>
      <c r="V21" s="294"/>
      <c r="W21" s="294"/>
      <c r="X21" s="294"/>
      <c r="Y21" s="294"/>
      <c r="Z21" s="295"/>
      <c r="AB21" s="18" t="s">
        <v>424</v>
      </c>
      <c r="AC21" s="39"/>
      <c r="AD21" s="19" t="str">
        <f>VIONARO!O23</f>
        <v>VIONARO H89</v>
      </c>
      <c r="AE21" s="19">
        <f>VIONARO!Q23</f>
        <v>500</v>
      </c>
      <c r="AF21" s="19" t="str">
        <f>VIONARO!$I$9</f>
        <v>Graphit</v>
      </c>
      <c r="AG21" s="2" t="str">
        <f t="shared" si="0"/>
        <v>ZARGENVIONARO H89500Graphit</v>
      </c>
      <c r="AH21" s="2" t="str">
        <f>IF(VIONARO!O23="","0",VLOOKUP(AG21,Artikeldaten!F:H,3,FALSE))</f>
        <v>F135119333</v>
      </c>
      <c r="AI21" s="2" t="str">
        <f>IF(AH21="0","0",VLOOKUP($AH21,Artikeldaten!$H:$K,3,FALSE))</f>
        <v>Vionaro Stahl Zarge H89</v>
      </c>
      <c r="AJ21" s="2" t="str">
        <f>IF(AH21="0","0",VLOOKUP($AH21,Artikeldaten!$H:$K,4,FALSE))</f>
        <v>NL500 graphit  Set VE1/5</v>
      </c>
      <c r="AK21" s="3">
        <f>IF(VIONARO!O23="","0",1)</f>
        <v>1</v>
      </c>
      <c r="AL21" s="47" t="s">
        <v>507</v>
      </c>
      <c r="AM21" s="2"/>
      <c r="AN21" s="48" t="s">
        <v>508</v>
      </c>
      <c r="AO21" s="3"/>
      <c r="AP21" s="1"/>
      <c r="AQ21" s="2" t="s">
        <v>514</v>
      </c>
      <c r="AR21" s="2" t="s">
        <v>455</v>
      </c>
      <c r="AS21" s="2" t="s">
        <v>515</v>
      </c>
      <c r="AT21" s="3" t="s">
        <v>454</v>
      </c>
    </row>
    <row r="22" spans="1:63" x14ac:dyDescent="0.25">
      <c r="A22" s="4">
        <f>VIONARO!M23</f>
        <v>140</v>
      </c>
      <c r="B22" s="5" t="str">
        <f>IF(AND(($A$22&gt;$D$2),($A$22&lt;$E$2),(VIONARO!I8&gt;Formeln!G2)),$A$2,"")</f>
        <v>VIONARO H63</v>
      </c>
      <c r="C22" s="5">
        <f>IF(B22="","",VLOOKUP(B22,$A$2:$E$6,4,FALSE))</f>
        <v>95</v>
      </c>
      <c r="D22" s="5">
        <f>IF(C22="","",$A$22-C22)</f>
        <v>45</v>
      </c>
      <c r="E22" s="6" t="str">
        <f>IF(D22="","",IF(D22&gt;122,"x","0"))</f>
        <v>0</v>
      </c>
      <c r="F22" s="5" t="str">
        <f>IF(D22="","",IF(D22&gt;153,"x","0"))</f>
        <v>0</v>
      </c>
      <c r="G22" s="7" t="str">
        <f>IF(D22="","",IF(D22&gt;218,"x","0"))</f>
        <v>0</v>
      </c>
      <c r="H22" s="20" t="s">
        <v>63</v>
      </c>
      <c r="I22" s="21" t="s">
        <v>63</v>
      </c>
      <c r="J22" s="21" t="s">
        <v>63</v>
      </c>
      <c r="K22" s="21" t="s">
        <v>63</v>
      </c>
      <c r="L22" s="23">
        <f>IF(VIONARO!$I$8&gt;452,450,"")</f>
        <v>450</v>
      </c>
      <c r="M22" s="23">
        <f>IF(VIONARO!$I$8&gt;502,500,"")</f>
        <v>500</v>
      </c>
      <c r="N22" s="23" t="str">
        <f>IF(VIONARO!$I$8&gt;552,550,"")</f>
        <v/>
      </c>
      <c r="O22" s="21" t="s">
        <v>63</v>
      </c>
      <c r="P22" s="21" t="s">
        <v>63</v>
      </c>
      <c r="Q22" s="16"/>
      <c r="R22" s="21"/>
      <c r="S22" s="21"/>
      <c r="T22" s="21"/>
      <c r="U22" s="21"/>
      <c r="V22" s="21"/>
      <c r="W22" s="21"/>
      <c r="X22" s="21"/>
      <c r="Y22" s="21"/>
      <c r="Z22" s="22"/>
      <c r="AB22" s="34" t="s">
        <v>424</v>
      </c>
      <c r="AC22" s="38"/>
      <c r="AD22" s="6" t="str">
        <f>VIONARO!S23</f>
        <v/>
      </c>
      <c r="AE22" s="6" t="str">
        <f>VIONARO!U23</f>
        <v/>
      </c>
      <c r="AF22" s="6" t="str">
        <f>VIONARO!$I$9</f>
        <v>Graphit</v>
      </c>
      <c r="AG22" s="5" t="str">
        <f t="shared" si="0"/>
        <v>ZARGENGraphit</v>
      </c>
      <c r="AH22" s="5" t="str">
        <f>IF(VIONARO!S23="","0",VLOOKUP(AG22,Artikeldaten!F:H,3,FALSE))</f>
        <v>0</v>
      </c>
      <c r="AI22" s="5" t="str">
        <f>IF(AH22="0","0",VLOOKUP($AH22,Artikeldaten!$H:$K,3,FALSE))</f>
        <v>0</v>
      </c>
      <c r="AJ22" s="5" t="str">
        <f>IF(AH22="0","0",VLOOKUP($AH22,Artikeldaten!$H:$K,4,FALSE))</f>
        <v>0</v>
      </c>
      <c r="AK22" s="35" t="str">
        <f>IF(VIONARO!S23="","0",1)</f>
        <v>0</v>
      </c>
      <c r="AL22" s="4">
        <f>VIONARO!Q23</f>
        <v>500</v>
      </c>
      <c r="AM22" s="5"/>
      <c r="AN22" s="5" t="str">
        <f>VIONARO!U23</f>
        <v/>
      </c>
      <c r="AO22" s="35" t="e">
        <f>IF('Auswahl Führung'!N23="","",IF(VIONARO!S23="",HLOOKUP(VIONARO!I4,Übersetzung,35,FALSE),""))</f>
        <v>#N/A</v>
      </c>
      <c r="AP22" s="4" t="str">
        <f>CONCATENATE($AP$8," 2A")</f>
        <v>Dno 2A</v>
      </c>
      <c r="AQ22" s="5">
        <f>IF(VIONARO!I10&gt;1,(IF($AP$11=0,"",IF(AL22=0,"",AL22-11))),0)</f>
        <v>489</v>
      </c>
      <c r="AR22" s="5">
        <f>IF($AP$11=0,"",IF(AL22=0,"",$AQ$11-21))</f>
        <v>543</v>
      </c>
      <c r="AS22" s="5">
        <f>IF(AL22=0,"",IF($AP$11=0,"",16))</f>
        <v>16</v>
      </c>
      <c r="AT22" s="35">
        <f>IF(AL22=0,"",IF($AP$11=0,"",1))</f>
        <v>1</v>
      </c>
    </row>
    <row r="23" spans="1:63" x14ac:dyDescent="0.25">
      <c r="A23" s="4"/>
      <c r="B23" s="5" t="str">
        <f>IF(AND(($A$22&gt;$D$3),($A$22&lt;$E$3),(VIONARO!I8&gt;Formeln!G3)),$A$3,"")</f>
        <v>VIONARO H89</v>
      </c>
      <c r="C23" s="5">
        <f>IF(B23="","",VLOOKUP(B23,$A$2:$E$6,4,FALSE))</f>
        <v>121</v>
      </c>
      <c r="D23" s="5">
        <f>IF(C23="","",$A$22-C23)</f>
        <v>19</v>
      </c>
      <c r="E23" s="6" t="str">
        <f>IF(D23="","",IF(D23&gt;122,"x","0"))</f>
        <v>0</v>
      </c>
      <c r="F23" s="5" t="str">
        <f t="shared" ref="F23:F26" si="2">IF(D23="","",IF(D23&gt;153,"x","0"))</f>
        <v>0</v>
      </c>
      <c r="G23" s="7" t="str">
        <f>IF(D23="","",IF(D23&gt;218,"x","0"))</f>
        <v>0</v>
      </c>
      <c r="H23" s="24">
        <f>IF(VIONARO!$I$8&gt;272,270,"")</f>
        <v>270</v>
      </c>
      <c r="I23" s="23">
        <f>IF(VIONARO!$I$8&gt;302,300,"")</f>
        <v>300</v>
      </c>
      <c r="J23" s="23">
        <f>IF(VIONARO!$I$8&gt;352,350,"")</f>
        <v>350</v>
      </c>
      <c r="K23" s="23">
        <f>IF(VIONARO!$I$8&gt;402,400,"")</f>
        <v>400</v>
      </c>
      <c r="L23" s="23">
        <f>IF(VIONARO!$I$8&gt;452,450,"")</f>
        <v>450</v>
      </c>
      <c r="M23" s="23">
        <f>IF(VIONARO!$I$8&gt;502,500,"")</f>
        <v>500</v>
      </c>
      <c r="N23" s="23" t="str">
        <f>IF(VIONARO!$I$8&gt;552,550,"")</f>
        <v/>
      </c>
      <c r="O23" s="23" t="str">
        <f>IF(VIONARO!$I$8&gt;602,600,"")</f>
        <v/>
      </c>
      <c r="P23" s="23" t="str">
        <f>IF(VIONARO!$I$8&gt;652,650,"")</f>
        <v/>
      </c>
      <c r="Q23" s="16" t="str">
        <f>E27</f>
        <v/>
      </c>
      <c r="R23" s="23">
        <f>IF(AND((VIONARO!$I$8&gt;281),(VIONARO!$Q$23&gt;=270)),270,"")</f>
        <v>270</v>
      </c>
      <c r="S23" s="23">
        <f>IF(AND((VIONARO!$I$8&gt;311),(VIONARO!$Q$23&gt;=300)),300,"")</f>
        <v>300</v>
      </c>
      <c r="T23" s="23">
        <f>IF(AND((VIONARO!$I$8&gt;361),(VIONARO!$Q$23&gt;=350)),350,"")</f>
        <v>350</v>
      </c>
      <c r="U23" s="23">
        <f>IF(AND((VIONARO!$I$8&gt;411),(VIONARO!$Q$23&gt;=400)),400,"")</f>
        <v>400</v>
      </c>
      <c r="V23" s="23">
        <f>IF(AND((VIONARO!$I$8&gt;461),(VIONARO!$Q$23&gt;=450)),450,"")</f>
        <v>450</v>
      </c>
      <c r="W23" s="23" t="str">
        <f>IF(AND((VIONARO!$I$8&gt;511),(VIONARO!$Q$23&gt;=500)),500,"")</f>
        <v/>
      </c>
      <c r="X23" s="23" t="str">
        <f>IF(AND((VIONARO!$I$8&gt;561),(VIONARO!$Q$23&gt;=550)),550,"")</f>
        <v/>
      </c>
      <c r="Y23" s="23" t="str">
        <f>IF(AND((VIONARO!$I$8&gt;611),(VIONARO!$Q$23&gt;=600)),600,"")</f>
        <v/>
      </c>
      <c r="Z23" s="25" t="str">
        <f>IF(AND((VIONARO!$I$8&gt;661),(VIONARO!$Q$23&gt;=650)),650,"")</f>
        <v/>
      </c>
      <c r="AB23" s="36" t="s">
        <v>418</v>
      </c>
      <c r="AC23" s="6" t="str">
        <f>VLOOKUP('Auswahl Führung'!T23,$AC$46:$AD$63,2,FALSE)</f>
        <v>Anschrauben</v>
      </c>
      <c r="AD23" s="6" t="str">
        <f>VIONARO!O23</f>
        <v>VIONARO H89</v>
      </c>
      <c r="AE23" s="38"/>
      <c r="AF23" s="6" t="str">
        <f>VIONARO!$I$9</f>
        <v>Graphit</v>
      </c>
      <c r="AG23" s="5" t="str">
        <f t="shared" si="0"/>
        <v>BefestigungAnschraubenVIONARO H89Graphit</v>
      </c>
      <c r="AH23" s="5" t="str">
        <f>IF(VIONARO!O23="","0",VLOOKUP(AG23,Artikeldaten!F:H,3,FALSE))</f>
        <v>F136100123</v>
      </c>
      <c r="AI23" s="5" t="str">
        <f>IF(AH23="0","0",VLOOKUP($AH23,Artikeldaten!$H:$K,3,FALSE))</f>
        <v>Vionaro Zubehör-Set H89</v>
      </c>
      <c r="AJ23" s="5" t="str">
        <f>IF(AH23="0","0",VLOOKUP($AH23,Artikeldaten!$H:$K,4,FALSE))</f>
        <v>Graphit z. Anschr. VPE 50</v>
      </c>
      <c r="AK23" s="35">
        <f>IF(VIONARO!O23="","0",1)</f>
        <v>1</v>
      </c>
      <c r="AL23" s="4"/>
      <c r="AM23" s="5" t="str">
        <f>IF(OR(AL22=270,AL22=300,AL22=350,AL22=400,AL22=450,AL22=500,AL22=550,AL22=600),"SOFT-CLOSE 40KG","")</f>
        <v>SOFT-CLOSE 40KG</v>
      </c>
      <c r="AN23" s="5"/>
      <c r="AO23" s="35" t="str">
        <f>IF(OR(AN22=270,AN22=300,AN22=350,AN22=400,AN22=450,AN22=500,AN22=550,AN22=600),"SOFT-CLOSE 40KG","")</f>
        <v/>
      </c>
      <c r="AP23" s="4" t="str">
        <f>CONCATENATE($AP$9," 2A")</f>
        <v>Plecy 2A</v>
      </c>
      <c r="AQ23" s="5">
        <f>IF(VIONARO!I10&gt;1,(IF($AP$11=0,"",IF(AL22=0,"",(VLOOKUP(VIONARO!O23,Formeln!$A$2:$H$6,8,FALSE))))),0)</f>
        <v>59</v>
      </c>
      <c r="AR23" s="5">
        <f>IF($AP$11=0,"",IF(AL22=0,"",$AQ$11-42))</f>
        <v>522</v>
      </c>
      <c r="AS23" s="5">
        <f>IF(AL22=0,"",IF($AP$11=0,"",16))</f>
        <v>16</v>
      </c>
      <c r="AT23" s="35">
        <f>IF(AL22=0,"",IF($AP$11=0,"",1))</f>
        <v>1</v>
      </c>
    </row>
    <row r="24" spans="1:63" x14ac:dyDescent="0.25">
      <c r="A24" s="4"/>
      <c r="B24" s="5" t="str">
        <f>IF(AND(($A$22&gt;$D$4),($A$22&lt;$E$4),(VIONARO!I8&gt;Formeln!G4)),$A$4,"")</f>
        <v/>
      </c>
      <c r="C24" s="5" t="str">
        <f>IF(B24="","",VLOOKUP(B24,$A$2:$E$6,4,FALSE))</f>
        <v/>
      </c>
      <c r="D24" s="5" t="str">
        <f>IF(C24="","",$A$22-C24)</f>
        <v/>
      </c>
      <c r="E24" s="6" t="str">
        <f>IF(D24="","",IF(D24&gt;122,"x","0"))</f>
        <v/>
      </c>
      <c r="F24" s="5" t="str">
        <f t="shared" si="2"/>
        <v/>
      </c>
      <c r="G24" s="7" t="str">
        <f>IF(D24="","",IF(D24&gt;218,"x","0"))</f>
        <v/>
      </c>
      <c r="H24" s="20" t="s">
        <v>63</v>
      </c>
      <c r="I24" s="21" t="s">
        <v>63</v>
      </c>
      <c r="J24" s="23">
        <f>IF(VIONARO!$I$8&gt;352,350,"")</f>
        <v>350</v>
      </c>
      <c r="K24" s="23">
        <f>IF(VIONARO!$I$8&gt;402,400,"")</f>
        <v>400</v>
      </c>
      <c r="L24" s="23">
        <f>IF(VIONARO!$I$8&gt;452,450,"")</f>
        <v>450</v>
      </c>
      <c r="M24" s="23">
        <f>IF(VIONARO!$I$8&gt;502,500,"")</f>
        <v>500</v>
      </c>
      <c r="N24" s="23" t="str">
        <f>IF(VIONARO!$I$8&gt;552,550,"")</f>
        <v/>
      </c>
      <c r="O24" s="21" t="s">
        <v>63</v>
      </c>
      <c r="P24" s="21" t="s">
        <v>63</v>
      </c>
      <c r="Q24" s="16" t="str">
        <f>F27</f>
        <v/>
      </c>
      <c r="R24" s="21" t="s">
        <v>63</v>
      </c>
      <c r="S24" s="21" t="s">
        <v>63</v>
      </c>
      <c r="T24" s="23">
        <f>IF(AND((VIONARO!$I$8&gt;361),(VIONARO!$Q$23&gt;=350)),350,"")</f>
        <v>350</v>
      </c>
      <c r="U24" s="23">
        <f>IF(AND((VIONARO!$I$8&gt;411),(VIONARO!$Q$23&gt;=400)),400,"")</f>
        <v>400</v>
      </c>
      <c r="V24" s="23">
        <f>IF(AND((VIONARO!$I$8&gt;461),(VIONARO!$Q$23&gt;=450)),450,"")</f>
        <v>450</v>
      </c>
      <c r="W24" s="23" t="str">
        <f>IF(AND((VIONARO!$I$8&gt;511),(VIONARO!$Q$23&gt;=500)),500,"")</f>
        <v/>
      </c>
      <c r="X24" s="23" t="str">
        <f>IF(AND((VIONARO!$I$8&gt;561),(VIONARO!$Q$23&gt;=550)),550,"")</f>
        <v/>
      </c>
      <c r="Y24" s="21" t="s">
        <v>63</v>
      </c>
      <c r="Z24" s="22" t="s">
        <v>63</v>
      </c>
      <c r="AB24" s="36" t="s">
        <v>418</v>
      </c>
      <c r="AC24" s="29" t="s">
        <v>417</v>
      </c>
      <c r="AD24" s="6" t="str">
        <f>VIONARO!S23</f>
        <v/>
      </c>
      <c r="AE24" s="38"/>
      <c r="AF24" s="6" t="str">
        <f>VIONARO!$I$9</f>
        <v>Graphit</v>
      </c>
      <c r="AG24" s="5" t="str">
        <f t="shared" si="0"/>
        <v>BefestigungInnenblendeGraphit</v>
      </c>
      <c r="AH24" s="5" t="str">
        <f>IF(VIONARO!S23="","0",VLOOKUP(AG24,Artikeldaten!F:H,3,FALSE))</f>
        <v>0</v>
      </c>
      <c r="AI24" s="5" t="str">
        <f>IF(AH24="0","0",VLOOKUP($AH24,Artikeldaten!$H:$K,3,FALSE))</f>
        <v>0</v>
      </c>
      <c r="AJ24" s="5" t="str">
        <f>IF(AH24="0","0",VLOOKUP($AH24,Artikeldaten!$H:$K,4,FALSE))</f>
        <v>0</v>
      </c>
      <c r="AK24" s="35" t="str">
        <f>IF(VIONARO!S23="","0",1)</f>
        <v>0</v>
      </c>
      <c r="AL24" s="4"/>
      <c r="AM24" s="5" t="str">
        <f>IF(AND(OR(AL22=450,AL22=500,AL22=550,AL22=600,AL22=650),BC26&lt;&gt;"VIONARO H63"),IF(AND(BC26&lt;&gt;"VIONARO H185",BC26&lt;&gt;"VIONARO H249"),IF(AL20&lt;261,"SOFT-CLOSE 70KG",""),"SOFT-CLOSE 70KG"),"")</f>
        <v>SOFT-CLOSE 70KG</v>
      </c>
      <c r="AN24" s="5"/>
      <c r="AO24" s="35" t="str">
        <f>IF(OR(AN22=450,AN22=500,AN22=550,AN22=600,AN22=650),"SOFT-CLOSE 70KG","")</f>
        <v/>
      </c>
      <c r="AP24" s="4" t="str">
        <f>CONCATENATE($AP$8," 2B")</f>
        <v>Dno 2B</v>
      </c>
      <c r="AQ24" s="5">
        <f>IF(AN22="",0,IF(AN22=0,"",AN22-11))</f>
        <v>0</v>
      </c>
      <c r="AR24" s="5">
        <f>IF($AN$22=0,"",IF($AQ$11="","",$AQ$11-21))</f>
        <v>543</v>
      </c>
      <c r="AS24" s="5">
        <f>IF($AN$22=0,"",16)</f>
        <v>16</v>
      </c>
      <c r="AT24" s="35">
        <f>IF($AN$22=0,"",1)</f>
        <v>1</v>
      </c>
    </row>
    <row r="25" spans="1:63" ht="15.75" thickBot="1" x14ac:dyDescent="0.3">
      <c r="A25" s="4"/>
      <c r="B25" s="5" t="str">
        <f>IF(AND(($A$22&gt;$D$5),($A$22&lt;$E$5),(VIONARO!I8&gt;Formeln!G5)),$A$5,"")</f>
        <v/>
      </c>
      <c r="C25" s="5" t="str">
        <f>IF(B25="","",VLOOKUP(B25,$A$2:$E$6,4,FALSE))</f>
        <v/>
      </c>
      <c r="D25" s="5" t="str">
        <f>IF(C25="","",$A$22-C25)</f>
        <v/>
      </c>
      <c r="E25" s="6" t="str">
        <f>IF(D25="","",IF(D25&gt;122,"x","0"))</f>
        <v/>
      </c>
      <c r="F25" s="5" t="str">
        <f t="shared" si="2"/>
        <v/>
      </c>
      <c r="G25" s="7" t="str">
        <f>IF(D25="","",IF(D25&gt;218,"x","0"))</f>
        <v/>
      </c>
      <c r="H25" s="24">
        <f>IF(VIONARO!$I$8&gt;272,270,"")</f>
        <v>270</v>
      </c>
      <c r="I25" s="23">
        <f>IF(VIONARO!$I$8&gt;302,300,"")</f>
        <v>300</v>
      </c>
      <c r="J25" s="23">
        <f>IF(VIONARO!$I$8&gt;352,350,"")</f>
        <v>350</v>
      </c>
      <c r="K25" s="23">
        <f>IF(VIONARO!$I$8&gt;402,400,"")</f>
        <v>400</v>
      </c>
      <c r="L25" s="23">
        <f>IF(VIONARO!$I$8&gt;452,450,"")</f>
        <v>450</v>
      </c>
      <c r="M25" s="23">
        <f>IF(VIONARO!$I$8&gt;502,500,"")</f>
        <v>500</v>
      </c>
      <c r="N25" s="23" t="str">
        <f>IF(VIONARO!$I$8&gt;552,550,"")</f>
        <v/>
      </c>
      <c r="O25" s="23" t="str">
        <f>IF(VIONARO!$I$8&gt;602,600,"")</f>
        <v/>
      </c>
      <c r="P25" s="23" t="str">
        <f>IF(VIONARO!$I$8&gt;652,650,"")</f>
        <v/>
      </c>
      <c r="Q25" s="16" t="str">
        <f>G27</f>
        <v/>
      </c>
      <c r="R25" s="23">
        <f>IF(AND((VIONARO!$I$8&gt;281),(VIONARO!$Q$23&gt;=270)),270,"")</f>
        <v>270</v>
      </c>
      <c r="S25" s="23">
        <f>IF(AND((VIONARO!$I$8&gt;311),(VIONARO!$Q$23&gt;=300)),300,"")</f>
        <v>300</v>
      </c>
      <c r="T25" s="23">
        <f>IF(AND((VIONARO!$I$8&gt;361),(VIONARO!$Q$23&gt;=350)),350,"")</f>
        <v>350</v>
      </c>
      <c r="U25" s="23">
        <f>IF(AND((VIONARO!$I$8&gt;411),(VIONARO!$Q$23&gt;=400)),400,"")</f>
        <v>400</v>
      </c>
      <c r="V25" s="23">
        <f>IF(AND((VIONARO!$I$8&gt;461),(VIONARO!$Q$23&gt;=450)),450,"")</f>
        <v>450</v>
      </c>
      <c r="W25" s="23" t="str">
        <f>IF(AND((VIONARO!$I$8&gt;511),(VIONARO!$Q$23&gt;=500)),500,"")</f>
        <v/>
      </c>
      <c r="X25" s="23" t="str">
        <f>IF(AND((VIONARO!$I$8&gt;561),(VIONARO!$Q$23&gt;=550)),550,"")</f>
        <v/>
      </c>
      <c r="Y25" s="23" t="str">
        <f>IF(AND((VIONARO!$I$8&gt;611),(VIONARO!$Q$23&gt;=600)),600,"")</f>
        <v/>
      </c>
      <c r="Z25" s="25" t="str">
        <f>IF(AND((VIONARO!$I$8&gt;661),(VIONARO!$Q$23&gt;=650)),650,"")</f>
        <v/>
      </c>
      <c r="AB25" s="36" t="s">
        <v>417</v>
      </c>
      <c r="AC25" s="38"/>
      <c r="AD25" s="6" t="str">
        <f>VIONARO!S23</f>
        <v/>
      </c>
      <c r="AE25" s="38"/>
      <c r="AF25" s="6" t="str">
        <f>VIONARO!$I$9</f>
        <v>Graphit</v>
      </c>
      <c r="AG25" s="5" t="str">
        <f t="shared" si="0"/>
        <v>InnenblendeGraphit</v>
      </c>
      <c r="AH25" s="5" t="str">
        <f>IF(VIONARO!S23="","0",VLOOKUP(AG25,Artikeldaten!F:H,3,FALSE))</f>
        <v>0</v>
      </c>
      <c r="AI25" s="5" t="str">
        <f>IF(AH25="0","0",VLOOKUP($AH25,Artikeldaten!$H:$K,3,FALSE))</f>
        <v>0</v>
      </c>
      <c r="AJ25" s="5" t="str">
        <f>IF(AH25="0","0",VLOOKUP($AH25,Artikeldaten!$H:$K,4,FALSE))</f>
        <v>0</v>
      </c>
      <c r="AK25" s="35" t="str">
        <f>IF(VIONARO!S23="","0",1)</f>
        <v>0</v>
      </c>
      <c r="AL25" s="4"/>
      <c r="AM25" s="5" t="str">
        <f>IF(OR(AL22=270,AL22=300,AL22=350,AL22=400,AL22=450,AL22=500,AL22=550),"TIPMATIC 40KG","")</f>
        <v>TIPMATIC 40KG</v>
      </c>
      <c r="AN25" s="5"/>
      <c r="AO25" s="35" t="str">
        <f>IF(OR(AN22=270,AN22=300,AN22=350,AN22=400,AN22=450,AN22=500,AN22=550),"TIPMATIC 40KG","")</f>
        <v/>
      </c>
      <c r="AP25" s="4" t="str">
        <f>CONCATENATE($AP$9," 2B")</f>
        <v>Plecy 2B</v>
      </c>
      <c r="AQ25" s="5">
        <f>IF(AN22="",0,IF($AP$11="","",(VLOOKUP(VIONARO!S23,Formeln!$A$2:$H$6,8,FALSE))))</f>
        <v>0</v>
      </c>
      <c r="AR25" s="5">
        <f>IF($AN$22=0,"",IF($AQ$11="","",$AQ$11-42))</f>
        <v>522</v>
      </c>
      <c r="AS25" s="5">
        <f>IF($AN$22=0,"",16)</f>
        <v>16</v>
      </c>
      <c r="AT25" s="35">
        <f>IF($AN$22=0,"",1)</f>
        <v>1</v>
      </c>
      <c r="BC25" t="str">
        <f>CONCATENATE(HLOOKUP(VIONARO!I4,Sprachen!A2:K56,55,FALSE)," B")</f>
        <v>Front B</v>
      </c>
    </row>
    <row r="26" spans="1:63" ht="15.75" thickBot="1" x14ac:dyDescent="0.3">
      <c r="A26" s="4"/>
      <c r="B26" s="5" t="str">
        <f>IF(AND(($A$22&gt;$D$6),($A$22&lt;$E$6),(VIONARO!$I$8&gt;Formeln!G6)),$A$6,"")</f>
        <v/>
      </c>
      <c r="C26" s="16" t="str">
        <f>IF(B26="","",VLOOKUP(B26,$A$2:$E$6,4,FALSE))</f>
        <v/>
      </c>
      <c r="D26" s="16" t="str">
        <f>IF(C26="","",$A$22-C26)</f>
        <v/>
      </c>
      <c r="E26" s="6" t="str">
        <f>IF(D26="","",IF(D26&gt;122,"x","0"))</f>
        <v/>
      </c>
      <c r="F26" s="5" t="str">
        <f t="shared" si="2"/>
        <v/>
      </c>
      <c r="G26" s="7" t="str">
        <f>IF(D26="","",IF(D26&gt;218,"x","0"))</f>
        <v/>
      </c>
      <c r="H26" s="20" t="s">
        <v>63</v>
      </c>
      <c r="I26" s="21" t="s">
        <v>63</v>
      </c>
      <c r="J26" s="21" t="s">
        <v>63</v>
      </c>
      <c r="K26" s="21" t="s">
        <v>63</v>
      </c>
      <c r="L26" s="23">
        <f>IF(VIONARO!$I$8&gt;452,450,"")</f>
        <v>450</v>
      </c>
      <c r="M26" s="23">
        <f>IF(VIONARO!$I$8&gt;502,500,"")</f>
        <v>500</v>
      </c>
      <c r="N26" s="23" t="str">
        <f>IF(VIONARO!$I$8&gt;552,550,"")</f>
        <v/>
      </c>
      <c r="O26" s="23" t="str">
        <f>IF(VIONARO!$I$8&gt;602,600,"")</f>
        <v/>
      </c>
      <c r="P26" s="21" t="s">
        <v>63</v>
      </c>
      <c r="Q26" s="16"/>
      <c r="R26" s="21" t="s">
        <v>63</v>
      </c>
      <c r="S26" s="21"/>
      <c r="T26" s="21"/>
      <c r="U26" s="21"/>
      <c r="V26" s="21"/>
      <c r="W26" s="21"/>
      <c r="X26" s="21"/>
      <c r="Y26" s="21"/>
      <c r="Z26" s="22"/>
      <c r="AB26" s="34" t="s">
        <v>426</v>
      </c>
      <c r="AC26" s="6" t="str">
        <f>'Auswahl Führung'!P23</f>
        <v>SOFT-CLOSE 40KG</v>
      </c>
      <c r="AD26" s="38"/>
      <c r="AE26" s="6">
        <f>AE21</f>
        <v>500</v>
      </c>
      <c r="AF26" s="38"/>
      <c r="AG26" s="5" t="str">
        <f t="shared" si="0"/>
        <v>FührungSOFT-CLOSE 40KG500</v>
      </c>
      <c r="AH26" s="5" t="str">
        <f>IF(VIONARO!O23="","0",VLOOKUP(AG26,Artikeldaten!F:H,3,FALSE))</f>
        <v>F130116024</v>
      </c>
      <c r="AI26" s="5" t="str">
        <f>IF(AH26="0","0",VLOOKUP($AH26,Artikeldaten!$H:$K,3,FALSE))</f>
        <v>Dynapro ST LN500 40 3D</v>
      </c>
      <c r="AJ26" s="5" t="str">
        <f>IF(AH26="0","0",VLOOKUP($AH26,Artikeldaten!$H:$K,4,FALSE))</f>
        <v>Soft-Close</v>
      </c>
      <c r="AK26" s="35">
        <f>IF(VIONARO!O23="","",1)</f>
        <v>1</v>
      </c>
      <c r="AL26" s="8"/>
      <c r="AM26" s="9" t="str">
        <f>IF(AND(OR(AL22=450,AL22=500,AL22=550,AL22=600,AL22=650),BC26&lt;&gt;"VIONARO H63"),IF(AND(BC26&lt;&gt;"VIONARO H185",BC26&lt;&gt;"VIONARO H249"),IF(AL20&lt;261,"TIPMATIC 60KG",""),"TIPMATIC 60KG"),"")</f>
        <v>TIPMATIC 60KG</v>
      </c>
      <c r="AN26" s="9"/>
      <c r="AO26" s="15" t="str">
        <f>IF(OR(AN22=450,AN22=500,AN22=550,AN22=600,AN22=650),"TIPMATIC 60KG","")</f>
        <v/>
      </c>
      <c r="AP26" s="8"/>
      <c r="AQ26" s="9"/>
      <c r="AR26" s="9"/>
      <c r="AS26" s="9"/>
      <c r="AT26" s="9"/>
      <c r="AU26" s="1" t="str">
        <f>AC26</f>
        <v>SOFT-CLOSE 40KG</v>
      </c>
      <c r="AV26" s="2">
        <f>AE26</f>
        <v>500</v>
      </c>
      <c r="AW26" s="2" t="str">
        <f>CONCATENATE(AU26,AV26)</f>
        <v>SOFT-CLOSE 40KG500</v>
      </c>
      <c r="AX26" s="2">
        <f>IF(AU26="","--",VLOOKUP($AW26,$C$59:$H$84,2,FALSE))</f>
        <v>37</v>
      </c>
      <c r="AY26" s="2">
        <f>IF(AU26="","--",VLOOKUP($AW26,$C$59:$H$84,3,FALSE))</f>
        <v>32</v>
      </c>
      <c r="AZ26" s="2">
        <f>IF(AU26="","--",VLOOKUP($AW26,$C$59:$H$84,4,FALSE))</f>
        <v>256</v>
      </c>
      <c r="BA26" s="2">
        <f>IF(AU26="","--",VLOOKUP($AW26,$C$59:$H$84,5,FALSE))</f>
        <v>288</v>
      </c>
      <c r="BB26" s="3" t="str">
        <f>IF(AU26="","--",VLOOKUP($AW26,$C$59:$H$84,6,FALSE))</f>
        <v>--</v>
      </c>
      <c r="BC26" s="161" t="str">
        <f>AD21</f>
        <v>VIONARO H89</v>
      </c>
      <c r="BD26" s="162">
        <f>IF(BC26="","-",VLOOKUP($BC$26,$A$87:$D$91,2,FALSE))</f>
        <v>31</v>
      </c>
      <c r="BE26" s="162">
        <f>IF(BC26="","-",VLOOKUP($BC$26,$A$87:$D$91,3,FALSE))</f>
        <v>32</v>
      </c>
      <c r="BF26" s="163" t="str">
        <f>IF(BC26="","-",VLOOKUP($BC$26,$A$87:$D$91,4,FALSE))</f>
        <v>--</v>
      </c>
      <c r="BI26" s="168">
        <f>IF(BC26="","-",VIONARO!$I$7-(Formeln!$BG$18+Formeln!$BH$18))</f>
        <v>598</v>
      </c>
      <c r="BJ26" s="169">
        <f>IF(BC26="","-",VIONARO!M23)</f>
        <v>140</v>
      </c>
    </row>
    <row r="27" spans="1:63" ht="15.75" thickBot="1" x14ac:dyDescent="0.3">
      <c r="A27" s="8"/>
      <c r="B27" s="9"/>
      <c r="C27" s="9"/>
      <c r="D27" s="9"/>
      <c r="E27" s="10" t="str">
        <f>IF(IF(VIONARO!O23="","",VLOOKUP(VIONARO!O23,Formeln!B22:G26,4,FALSE))="x","VIONARO H89","")</f>
        <v/>
      </c>
      <c r="F27" s="9" t="str">
        <f>IF(IF(VIONARO!O23="","",VLOOKUP(VIONARO!O23,Formeln!B22:G26,5,FALSE))="x","VIONARO H121","")</f>
        <v/>
      </c>
      <c r="G27" s="11" t="str">
        <f>IF(IF(VIONARO!O23="","",VLOOKUP(VIONARO!O23,Formeln!B22:G26,6,FALSE))="x","VIONARO H185","")</f>
        <v/>
      </c>
      <c r="H27" s="8">
        <f>IF(VIONARO!O23="","",VLOOKUP(VIONARO!$O$23,Formeln!$B$22:$P$26,7,FALSE))</f>
        <v>270</v>
      </c>
      <c r="I27" s="9">
        <f>IF(VIONARO!O23="","",VLOOKUP(VIONARO!$O$23,Formeln!$B$22:$P$26,8,FALSE))</f>
        <v>300</v>
      </c>
      <c r="J27" s="9">
        <f>IF(VIONARO!O23="","",VLOOKUP(VIONARO!$O$23,Formeln!$B$22:$P$26,9,FALSE))</f>
        <v>350</v>
      </c>
      <c r="K27" s="9">
        <f>IF(VIONARO!O23="","",VLOOKUP(VIONARO!$O$23,Formeln!$B$22:$P$26,10,FALSE))</f>
        <v>400</v>
      </c>
      <c r="L27" s="9">
        <f>IF(VIONARO!O23="","",VLOOKUP(VIONARO!$O$23,Formeln!$B$22:$P$26,11,FALSE))</f>
        <v>450</v>
      </c>
      <c r="M27" s="9">
        <f>IF(VIONARO!O23="","",VLOOKUP(VIONARO!$O$23,Formeln!$B$22:$P$26,12,FALSE))</f>
        <v>500</v>
      </c>
      <c r="N27" s="9" t="str">
        <f>IF(VIONARO!O23="","",VLOOKUP(VIONARO!$O$23,Formeln!$B$22:$P$26,13,FALSE))</f>
        <v/>
      </c>
      <c r="O27" s="9" t="str">
        <f>IF(VIONARO!O23="","",VLOOKUP(VIONARO!$O$23,Formeln!$B$22:$P$26,14,FALSE))</f>
        <v/>
      </c>
      <c r="P27" s="9" t="str">
        <f>IF(VIONARO!O23="","",VLOOKUP(VIONARO!$O$23,Formeln!$B$22:$P$26,15,FALSE))</f>
        <v/>
      </c>
      <c r="Q27" s="17"/>
      <c r="R27" s="9" t="str">
        <f>IF(VIONARO!S23="","",VLOOKUP(VIONARO!$S$23,$Q$22:$Z$26,2,FALSE))</f>
        <v/>
      </c>
      <c r="S27" s="9" t="str">
        <f>IF(VIONARO!S23="","",VLOOKUP(VIONARO!$S$23,$Q$22:$Z$26,3,FALSE))</f>
        <v/>
      </c>
      <c r="T27" s="9" t="str">
        <f>IF(VIONARO!S23="","",VLOOKUP(VIONARO!$S$23,$Q$22:$Z$26,4,FALSE))</f>
        <v/>
      </c>
      <c r="U27" s="9" t="str">
        <f>IF(VIONARO!S23="","",VLOOKUP(VIONARO!$S$23,$Q$22:$Z$26,5,FALSE))</f>
        <v/>
      </c>
      <c r="V27" s="9" t="str">
        <f>IF(VIONARO!S23="","",VLOOKUP(VIONARO!$S$23,$Q$22:$Z$26,6,FALSE))</f>
        <v/>
      </c>
      <c r="W27" s="9" t="str">
        <f>IF(VIONARO!S23="","",VLOOKUP(VIONARO!$S$23,$Q$22:$Z$26,7,FALSE))</f>
        <v/>
      </c>
      <c r="X27" s="9" t="str">
        <f>IF(VIONARO!S23="","",VLOOKUP(VIONARO!$S$23,$Q$22:$Z$26,8,FALSE))</f>
        <v/>
      </c>
      <c r="Y27" s="9" t="str">
        <f>IF(VIONARO!S23="","",VLOOKUP(VIONARO!$S$23,$Q$22:$Z$26,9,FALSE))</f>
        <v/>
      </c>
      <c r="Z27" s="15" t="str">
        <f>IF(VIONARO!S23="","",VLOOKUP(VIONARO!$S$23,$Q$22:$Z$26,10,FALSE))</f>
        <v/>
      </c>
      <c r="AB27" s="37" t="s">
        <v>426</v>
      </c>
      <c r="AC27" s="10" t="str">
        <f>'Auswahl Führung'!R23</f>
        <v/>
      </c>
      <c r="AD27" s="40"/>
      <c r="AE27" s="10" t="str">
        <f>AE22</f>
        <v/>
      </c>
      <c r="AF27" s="40"/>
      <c r="AG27" s="9" t="str">
        <f t="shared" si="0"/>
        <v>Führung</v>
      </c>
      <c r="AH27" s="9" t="str">
        <f>IF(VIONARO!S23="","0",VLOOKUP(AG27,Artikeldaten!F:H,3,FALSE))</f>
        <v>0</v>
      </c>
      <c r="AI27" s="9" t="str">
        <f>IF(AH27="0","0",VLOOKUP($AH27,Artikeldaten!$H:$K,3,FALSE))</f>
        <v>0</v>
      </c>
      <c r="AJ27" s="9" t="str">
        <f>IF(AH27="0","0",VLOOKUP($AH27,Artikeldaten!$H:$K,4,FALSE))</f>
        <v>0</v>
      </c>
      <c r="AK27" s="15" t="str">
        <f>IF(VIONARO!S23="","0",1)</f>
        <v>0</v>
      </c>
      <c r="AU27" s="8" t="str">
        <f>AC27</f>
        <v/>
      </c>
      <c r="AV27" s="9" t="str">
        <f>AE27</f>
        <v/>
      </c>
      <c r="AW27" s="9" t="str">
        <f>CONCATENATE(AU27,AV27)</f>
        <v/>
      </c>
      <c r="AX27" s="9" t="str">
        <f>IF(AU27="","--",VLOOKUP($AW27,$C$59:$H$84,2,FALSE))</f>
        <v>--</v>
      </c>
      <c r="AY27" s="9" t="str">
        <f>IF(AU27="","--",VLOOKUP($AW27,$C$59:$H$84,3,FALSE))</f>
        <v>--</v>
      </c>
      <c r="AZ27" s="9" t="str">
        <f>IF(AU27="","--",VLOOKUP($AW27,$C$59:$H$84,4,FALSE))</f>
        <v>--</v>
      </c>
      <c r="BA27" s="9" t="str">
        <f>IF(AU27="","--",VLOOKUP($AW27,$C$59:$H$84,5,FALSE))</f>
        <v>--</v>
      </c>
      <c r="BB27" s="15" t="str">
        <f>IF(AU27="","--",VLOOKUP($AW27,$C$59:$H$84,6,FALSE))</f>
        <v>--</v>
      </c>
      <c r="BC27" t="str">
        <f>IF(BC26="","-",IF(AC23="Spreizdübel Ø 8 mm",(CONCATENATE("Ø ",8," mm")),(CONCATENATE("Ø ",3," mm"))))</f>
        <v>Ø 3 mm</v>
      </c>
      <c r="BD27" s="164">
        <f>IF(BC26="","-",64.5)</f>
        <v>64.5</v>
      </c>
      <c r="BE27" s="164">
        <f>BE26</f>
        <v>32</v>
      </c>
      <c r="BF27" s="164" t="str">
        <f>BF26</f>
        <v>--</v>
      </c>
      <c r="BG27" s="166">
        <f>IF(BC26="","-",14.5+(VIONARO!$I$6-$BG$18))</f>
        <v>31.5</v>
      </c>
      <c r="BH27" s="167">
        <f>IF(BC26="","-",14.5+(VIONARO!$I$6-Formeln!$BH$18))</f>
        <v>31.5</v>
      </c>
      <c r="BI27" s="170"/>
      <c r="BJ27" s="171"/>
      <c r="BK27" s="171"/>
    </row>
    <row r="28" spans="1:63" ht="15.75" thickBot="1" x14ac:dyDescent="0.3">
      <c r="AE28" s="13"/>
      <c r="AF28" s="13"/>
      <c r="AG28" t="str">
        <f t="shared" si="0"/>
        <v/>
      </c>
      <c r="AL28">
        <f>A30</f>
        <v>0</v>
      </c>
      <c r="AX28" t="str">
        <f>IF(OR(AX27="--",AY27="--",AZ27="--",BA27="--",BB27="--",AX26="--",AY26="--",AZ26="--",BA26="--",BB26="--",AX20="-- = Keine Bohrung benötigt"),$A$45,"")</f>
        <v>-- = Wiercenie niewymagane</v>
      </c>
      <c r="BC28" t="str">
        <f>IF(OR(BC26="VIONARO H185",BC26="VIONARO H249"),"Ø 8 mm","--")</f>
        <v>--</v>
      </c>
      <c r="BD28" t="str">
        <f>IF(OR(BD27="--",BE27="--",BF27="--",BD19="--",BE19="--",BF19="--",BD20="-- = Keine Bohrung benötigt"),$A$45,"")</f>
        <v>-- = Wiercenie niewymagane</v>
      </c>
      <c r="BI28" s="171"/>
      <c r="BJ28" s="171"/>
      <c r="BK28" s="171"/>
    </row>
    <row r="29" spans="1:63" x14ac:dyDescent="0.25">
      <c r="A29" s="1" t="s">
        <v>12</v>
      </c>
      <c r="B29" s="2"/>
      <c r="C29" s="2"/>
      <c r="D29" s="2"/>
      <c r="E29" s="2" t="s">
        <v>6</v>
      </c>
      <c r="F29" s="2" t="s">
        <v>980</v>
      </c>
      <c r="G29" s="3" t="s">
        <v>7</v>
      </c>
      <c r="H29" s="293" t="s">
        <v>64</v>
      </c>
      <c r="I29" s="294"/>
      <c r="J29" s="294"/>
      <c r="K29" s="294"/>
      <c r="L29" s="294"/>
      <c r="M29" s="294"/>
      <c r="N29" s="294"/>
      <c r="O29" s="294"/>
      <c r="P29" s="294"/>
      <c r="Q29" s="294" t="s">
        <v>65</v>
      </c>
      <c r="R29" s="294"/>
      <c r="S29" s="294"/>
      <c r="T29" s="294"/>
      <c r="U29" s="294"/>
      <c r="V29" s="294"/>
      <c r="W29" s="294"/>
      <c r="X29" s="294"/>
      <c r="Y29" s="294"/>
      <c r="Z29" s="295"/>
      <c r="AB29" s="18" t="s">
        <v>424</v>
      </c>
      <c r="AC29" s="39"/>
      <c r="AD29" s="19" t="str">
        <f>VIONARO!O21</f>
        <v/>
      </c>
      <c r="AE29" s="19" t="str">
        <f>VIONARO!Q21</f>
        <v/>
      </c>
      <c r="AF29" s="19" t="str">
        <f>VIONARO!$I$9</f>
        <v>Graphit</v>
      </c>
      <c r="AG29" s="2" t="str">
        <f t="shared" si="0"/>
        <v>ZARGENGraphit</v>
      </c>
      <c r="AH29" s="2" t="str">
        <f>IF(VIONARO!O21="","0",VLOOKUP(AG29,Artikeldaten!F:H,3,FALSE))</f>
        <v>0</v>
      </c>
      <c r="AI29" s="2" t="str">
        <f>IF(AH29="0","0",VLOOKUP($AH29,Artikeldaten!$H:$K,3,FALSE))</f>
        <v>0</v>
      </c>
      <c r="AJ29" s="2" t="str">
        <f>IF(AH29="0","0",VLOOKUP($AH29,Artikeldaten!$H:$K,4,FALSE))</f>
        <v>0</v>
      </c>
      <c r="AK29" s="3" t="str">
        <f>IF(VIONARO!O21="","0",1)</f>
        <v>0</v>
      </c>
      <c r="AL29" s="47" t="s">
        <v>507</v>
      </c>
      <c r="AM29" s="2"/>
      <c r="AN29" s="48" t="s">
        <v>508</v>
      </c>
      <c r="AO29" s="3"/>
      <c r="AP29" s="1"/>
      <c r="AQ29" s="2" t="s">
        <v>514</v>
      </c>
      <c r="AR29" s="2" t="s">
        <v>455</v>
      </c>
      <c r="AS29" s="2" t="s">
        <v>515</v>
      </c>
      <c r="AT29" s="3" t="s">
        <v>454</v>
      </c>
      <c r="BI29" s="171"/>
      <c r="BJ29" s="171"/>
      <c r="BK29" s="171"/>
    </row>
    <row r="30" spans="1:63" x14ac:dyDescent="0.25">
      <c r="A30" s="4">
        <f>VIONARO!M21</f>
        <v>0</v>
      </c>
      <c r="B30" s="5" t="str">
        <f>IF(AND(($A$30&gt;$D$2),($A$30&lt;$E$2),(VIONARO!I8&gt;Formeln!G2)),$A$2,"")</f>
        <v/>
      </c>
      <c r="C30" s="5" t="str">
        <f>IF(B30="","",VLOOKUP(B30,$A$2:$E$5,4,FALSE))</f>
        <v/>
      </c>
      <c r="D30" s="5" t="str">
        <f>IF(C30="","",$A$30-C30)</f>
        <v/>
      </c>
      <c r="E30" s="6" t="str">
        <f>IF(D30="","",IF(D30&gt;122,"x","0"))</f>
        <v/>
      </c>
      <c r="F30" s="5" t="str">
        <f>IF(D30="","",IF(D30&gt;153,"x","0"))</f>
        <v/>
      </c>
      <c r="G30" s="7" t="str">
        <f>IF(D30="","",IF(D30&gt;218,"x","0"))</f>
        <v/>
      </c>
      <c r="H30" s="20" t="s">
        <v>63</v>
      </c>
      <c r="I30" s="21" t="s">
        <v>63</v>
      </c>
      <c r="J30" s="21" t="s">
        <v>63</v>
      </c>
      <c r="K30" s="21" t="s">
        <v>63</v>
      </c>
      <c r="L30" s="23">
        <f>IF(VIONARO!$I$8&gt;452,450,"")</f>
        <v>450</v>
      </c>
      <c r="M30" s="23">
        <f>IF(VIONARO!$I$8&gt;502,500,"")</f>
        <v>500</v>
      </c>
      <c r="N30" s="23" t="str">
        <f>IF(VIONARO!$I$8&gt;552,550,"")</f>
        <v/>
      </c>
      <c r="O30" s="21" t="s">
        <v>63</v>
      </c>
      <c r="P30" s="21" t="s">
        <v>63</v>
      </c>
      <c r="Q30" s="16"/>
      <c r="R30" s="21"/>
      <c r="S30" s="21"/>
      <c r="T30" s="21"/>
      <c r="U30" s="21"/>
      <c r="V30" s="21"/>
      <c r="W30" s="21"/>
      <c r="X30" s="21"/>
      <c r="Y30" s="21"/>
      <c r="Z30" s="22"/>
      <c r="AB30" s="34" t="s">
        <v>424</v>
      </c>
      <c r="AC30" s="38"/>
      <c r="AD30" s="6" t="str">
        <f>VIONARO!S21</f>
        <v/>
      </c>
      <c r="AE30" s="6" t="str">
        <f>VIONARO!U21</f>
        <v/>
      </c>
      <c r="AF30" s="6" t="str">
        <f>VIONARO!$I$9</f>
        <v>Graphit</v>
      </c>
      <c r="AG30" s="5" t="str">
        <f t="shared" si="0"/>
        <v>ZARGENGraphit</v>
      </c>
      <c r="AH30" s="5" t="str">
        <f>IF(VIONARO!S21="","0",VLOOKUP(AG30,Artikeldaten!F:H,3,FALSE))</f>
        <v>0</v>
      </c>
      <c r="AI30" s="5" t="str">
        <f>IF(AH30="0","0",VLOOKUP($AH30,Artikeldaten!$H:$K,3,FALSE))</f>
        <v>0</v>
      </c>
      <c r="AJ30" s="5" t="str">
        <f>IF(AH30="0","0",VLOOKUP($AH30,Artikeldaten!$H:$K,4,FALSE))</f>
        <v>0</v>
      </c>
      <c r="AK30" s="35" t="str">
        <f>IF(VIONARO!S21="","0",1)</f>
        <v>0</v>
      </c>
      <c r="AL30" s="4" t="str">
        <f>VIONARO!Q21</f>
        <v/>
      </c>
      <c r="AM30" s="5"/>
      <c r="AN30" s="5" t="str">
        <f>VIONARO!U21</f>
        <v/>
      </c>
      <c r="AO30" s="35" t="str">
        <f>IF('Auswahl Führung'!N21="","",IF(VIONARO!S21="",HLOOKUP(VIONARO!I4,Übersetzung,35,FALSE),""))</f>
        <v/>
      </c>
      <c r="AP30" s="4" t="str">
        <f>CONCATENATE($AP$8," 3A")</f>
        <v>Dno 3A</v>
      </c>
      <c r="AQ30" s="5">
        <f>IF(VIONARO!I10&gt;2,(IF($AP$11=0,"",IF(AL30=0,"",AL30-11))),0)</f>
        <v>0</v>
      </c>
      <c r="AR30" s="5">
        <f>IF($AP$11=0,"",IF(AL30=0,"",$AQ$11-21))</f>
        <v>543</v>
      </c>
      <c r="AS30" s="5">
        <f>IF(AL30=0,"",IF($AP$11=0,"",16))</f>
        <v>16</v>
      </c>
      <c r="AT30" s="35">
        <f>IF(AL30=0,"",IF($AP$11=0,"",1))</f>
        <v>1</v>
      </c>
      <c r="BI30" s="171"/>
      <c r="BJ30" s="171"/>
      <c r="BK30" s="171"/>
    </row>
    <row r="31" spans="1:63" x14ac:dyDescent="0.25">
      <c r="A31" s="4"/>
      <c r="B31" s="5" t="str">
        <f>IF(AND(($A$30&gt;$D$3),($A$30&lt;$E$3),(VIONARO!I8&gt;Formeln!G3)),$A$3,"")</f>
        <v/>
      </c>
      <c r="C31" s="5" t="str">
        <f>IF(B31="","",VLOOKUP(B31,$A$2:$E$5,4,FALSE))</f>
        <v/>
      </c>
      <c r="D31" s="5" t="str">
        <f>IF(C31="","",$A$30-C31)</f>
        <v/>
      </c>
      <c r="E31" s="6" t="str">
        <f>IF(D31="","",IF(D31&gt;122,"x","0"))</f>
        <v/>
      </c>
      <c r="F31" s="5" t="str">
        <f t="shared" ref="F31:F34" si="3">IF(D31="","",IF(D31&gt;153,"x","0"))</f>
        <v/>
      </c>
      <c r="G31" s="7" t="str">
        <f>IF(D31="","",IF(D31&gt;218,"x","0"))</f>
        <v/>
      </c>
      <c r="H31" s="24">
        <f>IF(VIONARO!$I$8&gt;272,270,"")</f>
        <v>270</v>
      </c>
      <c r="I31" s="23">
        <f>IF(VIONARO!$I$8&gt;302,300,"")</f>
        <v>300</v>
      </c>
      <c r="J31" s="23">
        <f>IF(VIONARO!$I$8&gt;352,350,"")</f>
        <v>350</v>
      </c>
      <c r="K31" s="23">
        <f>IF(VIONARO!$I$8&gt;402,400,"")</f>
        <v>400</v>
      </c>
      <c r="L31" s="23">
        <f>IF(VIONARO!$I$8&gt;452,450,"")</f>
        <v>450</v>
      </c>
      <c r="M31" s="23">
        <f>IF(VIONARO!$I$8&gt;502,500,"")</f>
        <v>500</v>
      </c>
      <c r="N31" s="23" t="str">
        <f>IF(VIONARO!$I$8&gt;552,550,"")</f>
        <v/>
      </c>
      <c r="O31" s="23" t="str">
        <f>IF(VIONARO!$I$8&gt;602,600,"")</f>
        <v/>
      </c>
      <c r="P31" s="23" t="str">
        <f>IF(VIONARO!$I$8&gt;652,650,"")</f>
        <v/>
      </c>
      <c r="Q31" s="16" t="str">
        <f>E35</f>
        <v/>
      </c>
      <c r="R31" s="23">
        <f>IF(AND((VIONARO!$I$8&gt;281),(VIONARO!$Q$21&gt;=270)),270,"")</f>
        <v>270</v>
      </c>
      <c r="S31" s="23">
        <f>IF(AND((VIONARO!$I$8&gt;311),(VIONARO!$Q$21&gt;=300)),300,"")</f>
        <v>300</v>
      </c>
      <c r="T31" s="23">
        <f>IF(AND((VIONARO!$I$8&gt;361),(VIONARO!$Q$21&gt;=350)),350,"")</f>
        <v>350</v>
      </c>
      <c r="U31" s="23">
        <f>IF(AND((VIONARO!$I$8&gt;411),(VIONARO!$Q$21&gt;=400)),400,"")</f>
        <v>400</v>
      </c>
      <c r="V31" s="23">
        <f>IF(AND((VIONARO!$I$8&gt;461),(VIONARO!$Q$21&gt;=450)),450,"")</f>
        <v>450</v>
      </c>
      <c r="W31" s="23" t="str">
        <f>IF(AND((VIONARO!$I$8&gt;511),(VIONARO!$Q$21&gt;=500)),500,"")</f>
        <v/>
      </c>
      <c r="X31" s="23" t="str">
        <f>IF(AND((VIONARO!$I$8&gt;561),(VIONARO!$Q$21&gt;=550)),550,"")</f>
        <v/>
      </c>
      <c r="Y31" s="23" t="str">
        <f>IF(AND((VIONARO!$I$8&gt;611),(VIONARO!$Q$21&gt;=600)),600,"")</f>
        <v/>
      </c>
      <c r="Z31" s="25" t="str">
        <f>IF(AND((VIONARO!$I$8&gt;661),(VIONARO!$Q$21&gt;=650)),650,"")</f>
        <v/>
      </c>
      <c r="AB31" s="36" t="s">
        <v>418</v>
      </c>
      <c r="AC31" s="6" t="e">
        <f>VLOOKUP('Auswahl Führung'!T21,$AC$46:$AD$63,2,FALSE)</f>
        <v>#N/A</v>
      </c>
      <c r="AD31" s="6" t="str">
        <f>AD29</f>
        <v/>
      </c>
      <c r="AE31" s="38"/>
      <c r="AF31" s="6" t="str">
        <f>VIONARO!$I$9</f>
        <v>Graphit</v>
      </c>
      <c r="AG31" s="5" t="e">
        <f t="shared" si="0"/>
        <v>#N/A</v>
      </c>
      <c r="AH31" s="5" t="str">
        <f>IF(VIONARO!O21="","0",VLOOKUP(AG31,Artikeldaten!F:H,3,FALSE))</f>
        <v>0</v>
      </c>
      <c r="AI31" s="5" t="str">
        <f>IF(AH31="0","0",VLOOKUP($AH31,Artikeldaten!$H:$K,3,FALSE))</f>
        <v>0</v>
      </c>
      <c r="AJ31" s="5" t="str">
        <f>IF(AH31="0","0",VLOOKUP($AH31,Artikeldaten!$H:$K,4,FALSE))</f>
        <v>0</v>
      </c>
      <c r="AK31" s="35" t="str">
        <f>IF(VIONARO!O21="","0",1)</f>
        <v>0</v>
      </c>
      <c r="AL31" s="4"/>
      <c r="AM31" s="5" t="str">
        <f>IF(OR(AL30=270,AL30=300,AL30=350,AL30=400,AL30=450,AL30=500,AL30=550,AL30=600),"SOFT-CLOSE 40KG","")</f>
        <v/>
      </c>
      <c r="AN31" s="5"/>
      <c r="AO31" s="35" t="str">
        <f>IF(OR(AN30=270,AN30=300,AN30=350,AN30=400,AN30=450,AN30=500,AN30=550,AN30=600),"SOFT-CLOSE 40KG","")</f>
        <v/>
      </c>
      <c r="AP31" s="4" t="str">
        <f>CONCATENATE($AP$9," 3A")</f>
        <v>Plecy 3A</v>
      </c>
      <c r="AQ31" s="5">
        <f>IF(VIONARO!I10&gt;2,(IF($AP$11=0,"",IF(AL30=0,"",(VLOOKUP(VIONARO!O21,Formeln!$A$2:$H$6,8,FALSE))))),0)</f>
        <v>0</v>
      </c>
      <c r="AR31" s="5">
        <f>IF($AP$11=0,"",IF(AL30=0,"",$AQ$11-42))</f>
        <v>522</v>
      </c>
      <c r="AS31" s="5">
        <f>IF(AL30=0,"",IF($AP$11=0,"",16))</f>
        <v>16</v>
      </c>
      <c r="AT31" s="35">
        <f>IF(AL30=0,"",IF($AP$11=0,"",1))</f>
        <v>1</v>
      </c>
      <c r="BI31" s="171"/>
      <c r="BJ31" s="171"/>
      <c r="BK31" s="171"/>
    </row>
    <row r="32" spans="1:63" x14ac:dyDescent="0.25">
      <c r="A32" s="4"/>
      <c r="B32" s="5" t="str">
        <f>IF(AND(($A$30&gt;$D$4),($A$30&lt;$E$4),(VIONARO!I8&gt;Formeln!G4)),$A$4,"")</f>
        <v/>
      </c>
      <c r="C32" s="5" t="str">
        <f>IF(B32="","",VLOOKUP(B32,$A$2:$E$5,4,FALSE))</f>
        <v/>
      </c>
      <c r="D32" s="5" t="str">
        <f>IF(C32="","",$A$30-C32)</f>
        <v/>
      </c>
      <c r="E32" s="6" t="str">
        <f>IF(D32="","",IF(D32&gt;122,"x","0"))</f>
        <v/>
      </c>
      <c r="F32" s="5" t="str">
        <f t="shared" si="3"/>
        <v/>
      </c>
      <c r="G32" s="7" t="str">
        <f>IF(D32="","",IF(D32&gt;218,"x","0"))</f>
        <v/>
      </c>
      <c r="H32" s="20" t="s">
        <v>63</v>
      </c>
      <c r="I32" s="21" t="s">
        <v>63</v>
      </c>
      <c r="J32" s="23">
        <f>IF(VIONARO!$I$8&gt;352,350,"")</f>
        <v>350</v>
      </c>
      <c r="K32" s="23">
        <f>IF(VIONARO!$I$8&gt;402,400,"")</f>
        <v>400</v>
      </c>
      <c r="L32" s="23">
        <f>IF(VIONARO!$I$8&gt;452,450,"")</f>
        <v>450</v>
      </c>
      <c r="M32" s="23">
        <f>IF(VIONARO!$I$8&gt;502,500,"")</f>
        <v>500</v>
      </c>
      <c r="N32" s="23" t="str">
        <f>IF(VIONARO!$I$8&gt;552,550,"")</f>
        <v/>
      </c>
      <c r="O32" s="21" t="s">
        <v>63</v>
      </c>
      <c r="P32" s="21" t="s">
        <v>63</v>
      </c>
      <c r="Q32" s="16" t="str">
        <f>F35</f>
        <v/>
      </c>
      <c r="R32" s="21" t="s">
        <v>63</v>
      </c>
      <c r="S32" s="21" t="s">
        <v>63</v>
      </c>
      <c r="T32" s="23">
        <f>IF(AND((VIONARO!$I$8&gt;361),(VIONARO!$Q$21&gt;=350)),350,"")</f>
        <v>350</v>
      </c>
      <c r="U32" s="23">
        <f>IF(AND((VIONARO!$I$8&gt;411),(VIONARO!$Q$21&gt;=400)),400,"")</f>
        <v>400</v>
      </c>
      <c r="V32" s="23">
        <f>IF(AND((VIONARO!$I$8&gt;461),(VIONARO!$Q$21&gt;=450)),450,"")</f>
        <v>450</v>
      </c>
      <c r="W32" s="23" t="str">
        <f>IF(AND((VIONARO!$I$8&gt;511),(VIONARO!$Q$21&gt;=500)),500,"")</f>
        <v/>
      </c>
      <c r="X32" s="23" t="str">
        <f>IF(AND((VIONARO!$I$8&gt;561),(VIONARO!$Q$21&gt;=550)),550,"")</f>
        <v/>
      </c>
      <c r="Y32" s="21" t="s">
        <v>63</v>
      </c>
      <c r="Z32" s="22" t="s">
        <v>63</v>
      </c>
      <c r="AB32" s="36" t="s">
        <v>418</v>
      </c>
      <c r="AC32" s="29" t="s">
        <v>417</v>
      </c>
      <c r="AD32" s="6" t="str">
        <f>AD30</f>
        <v/>
      </c>
      <c r="AE32" s="38"/>
      <c r="AF32" s="6" t="str">
        <f>VIONARO!$I$9</f>
        <v>Graphit</v>
      </c>
      <c r="AG32" s="5" t="str">
        <f t="shared" si="0"/>
        <v>BefestigungInnenblendeGraphit</v>
      </c>
      <c r="AH32" s="5" t="str">
        <f>IF(VIONARO!S21="","0",VLOOKUP(AG32,Artikeldaten!F:H,3,FALSE))</f>
        <v>0</v>
      </c>
      <c r="AI32" s="5" t="str">
        <f>IF(AH32="0","0",VLOOKUP($AH32,Artikeldaten!$H:$K,3,FALSE))</f>
        <v>0</v>
      </c>
      <c r="AJ32" s="5" t="str">
        <f>IF(AH32="0","0",VLOOKUP($AH32,Artikeldaten!$H:$K,4,FALSE))</f>
        <v>0</v>
      </c>
      <c r="AK32" s="35" t="str">
        <f>IF(VIONARO!S21="","0",1)</f>
        <v>0</v>
      </c>
      <c r="AL32" s="4"/>
      <c r="AM32" s="5" t="str">
        <f>IF(AND(OR(AL30=450,AL30=500,AL30=550,AL30=600,AL30=650),BC34&lt;&gt;"VIONARO H63"),IF(AND(BC34&lt;&gt;"VIONARO H185",BC34&lt;&gt;"VIONARO H249"),IF(AL28&lt;261,"SOFT-CLOSE 70KG",""),"SOFT-CLOSE 70KG"),"")</f>
        <v/>
      </c>
      <c r="AN32" s="5"/>
      <c r="AO32" s="35" t="str">
        <f>IF(OR(AN30=450,AN30=500,AN30=550,AN30=600,AN30=650),"SOFT-CLOSE 70KG","")</f>
        <v/>
      </c>
      <c r="AP32" s="4" t="str">
        <f>CONCATENATE($AP$8," 3B")</f>
        <v>Dno 3B</v>
      </c>
      <c r="AQ32" s="5">
        <f>IF($AN$30="",0,IF(AN30="","",AN30-11))</f>
        <v>0</v>
      </c>
      <c r="AR32" s="5">
        <f>IF($AN$30=0,"",IF($AQ$11="","",$AQ$11-21))</f>
        <v>543</v>
      </c>
      <c r="AS32" s="5">
        <f>IF($AN$30=0,"",16)</f>
        <v>16</v>
      </c>
      <c r="AT32" s="35">
        <f>IF($AN$30=0,"",1)</f>
        <v>1</v>
      </c>
      <c r="BI32" s="171"/>
      <c r="BJ32" s="171"/>
      <c r="BK32" s="171"/>
    </row>
    <row r="33" spans="1:63" ht="15.75" thickBot="1" x14ac:dyDescent="0.3">
      <c r="A33" s="4"/>
      <c r="B33" s="5" t="str">
        <f>IF(AND(($A$30&gt;$D$5),($A$30&lt;$E$5),(VIONARO!I8&gt;Formeln!G5)),$A$5,"")</f>
        <v/>
      </c>
      <c r="C33" s="5" t="str">
        <f>IF(B33="","",VLOOKUP(B33,$A$2:$E$5,4,FALSE))</f>
        <v/>
      </c>
      <c r="D33" s="5" t="str">
        <f>IF(C33="","",$A$30-C33)</f>
        <v/>
      </c>
      <c r="E33" s="6" t="str">
        <f>IF(D33="","",IF(D33&gt;122,"x","0"))</f>
        <v/>
      </c>
      <c r="F33" s="5" t="str">
        <f t="shared" si="3"/>
        <v/>
      </c>
      <c r="G33" s="7" t="str">
        <f>IF(D33="","",IF(D33&gt;218,"x","0"))</f>
        <v/>
      </c>
      <c r="H33" s="24">
        <f>IF(VIONARO!$I$8&gt;272,270,"")</f>
        <v>270</v>
      </c>
      <c r="I33" s="23">
        <f>IF(VIONARO!$I$8&gt;302,300,"")</f>
        <v>300</v>
      </c>
      <c r="J33" s="23">
        <f>IF(VIONARO!$I$8&gt;352,350,"")</f>
        <v>350</v>
      </c>
      <c r="K33" s="23">
        <f>IF(VIONARO!$I$8&gt;402,400,"")</f>
        <v>400</v>
      </c>
      <c r="L33" s="23">
        <f>IF(VIONARO!$I$8&gt;452,450,"")</f>
        <v>450</v>
      </c>
      <c r="M33" s="23">
        <f>IF(VIONARO!$I$8&gt;502,500,"")</f>
        <v>500</v>
      </c>
      <c r="N33" s="23" t="str">
        <f>IF(VIONARO!$I$8&gt;552,550,"")</f>
        <v/>
      </c>
      <c r="O33" s="23" t="str">
        <f>IF(VIONARO!$I$8&gt;602,600,"")</f>
        <v/>
      </c>
      <c r="P33" s="23" t="str">
        <f>IF(VIONARO!$I$8&gt;652,650,"")</f>
        <v/>
      </c>
      <c r="Q33" s="16" t="str">
        <f>G35</f>
        <v/>
      </c>
      <c r="R33" s="23">
        <f>IF(AND((VIONARO!$I$8&gt;281),(VIONARO!$Q$21&gt;=270)),270,"")</f>
        <v>270</v>
      </c>
      <c r="S33" s="23">
        <f>IF(AND((VIONARO!$I$8&gt;311),(VIONARO!$Q$21&gt;=300)),300,"")</f>
        <v>300</v>
      </c>
      <c r="T33" s="23">
        <f>IF(AND((VIONARO!$I$8&gt;361),(VIONARO!$Q$21&gt;=350)),350,"")</f>
        <v>350</v>
      </c>
      <c r="U33" s="23">
        <f>IF(AND((VIONARO!$I$8&gt;411),(VIONARO!$Q$21&gt;=400)),400,"")</f>
        <v>400</v>
      </c>
      <c r="V33" s="23">
        <f>IF(AND((VIONARO!$I$8&gt;461),(VIONARO!$Q$21&gt;=450)),450,"")</f>
        <v>450</v>
      </c>
      <c r="W33" s="23" t="str">
        <f>IF(AND((VIONARO!$I$8&gt;511),(VIONARO!$Q$21&gt;=500)),500,"")</f>
        <v/>
      </c>
      <c r="X33" s="23" t="str">
        <f>IF(AND((VIONARO!$I$8&gt;561),(VIONARO!$Q$21&gt;=550)),550,"")</f>
        <v/>
      </c>
      <c r="Y33" s="23" t="str">
        <f>IF(AND((VIONARO!$I$8&gt;611),(VIONARO!$Q$21&gt;=600)),600,"")</f>
        <v/>
      </c>
      <c r="Z33" s="25" t="str">
        <f>IF(AND((VIONARO!$I$8&gt;661),(VIONARO!$Q$21&gt;=650)),650,"")</f>
        <v/>
      </c>
      <c r="AB33" s="36" t="s">
        <v>417</v>
      </c>
      <c r="AC33" s="38"/>
      <c r="AD33" s="6" t="str">
        <f>AD30</f>
        <v/>
      </c>
      <c r="AE33" s="38"/>
      <c r="AF33" s="6" t="str">
        <f>VIONARO!$I$9</f>
        <v>Graphit</v>
      </c>
      <c r="AG33" s="5" t="str">
        <f t="shared" si="0"/>
        <v>InnenblendeGraphit</v>
      </c>
      <c r="AH33" s="5" t="str">
        <f>IF(VIONARO!S21="","0",VLOOKUP(AG33,Artikeldaten!F:H,3,FALSE))</f>
        <v>0</v>
      </c>
      <c r="AI33" s="5" t="str">
        <f>IF(AH33="0","0",VLOOKUP($AH33,Artikeldaten!$H:$K,3,FALSE))</f>
        <v>0</v>
      </c>
      <c r="AJ33" s="5" t="str">
        <f>IF(AH33="0","0",VLOOKUP($AH33,Artikeldaten!$H:$K,4,FALSE))</f>
        <v>0</v>
      </c>
      <c r="AK33" s="35" t="str">
        <f>IF(VIONARO!S21="","0",1)</f>
        <v>0</v>
      </c>
      <c r="AL33" s="4"/>
      <c r="AM33" s="5" t="str">
        <f>IF(OR(AL30=270,AL30=300,AL30=350,AL30=400,AL30=450,AL30=500,AL30=550),"TIPMATIC 40KG","")</f>
        <v/>
      </c>
      <c r="AN33" s="5"/>
      <c r="AO33" s="35" t="str">
        <f>IF(OR(AN30=270,AN30=300,AN30=350,AN30=400,AN30=450,AN30=500,AN30=550),"TIPMATIC 40KG","")</f>
        <v/>
      </c>
      <c r="AP33" s="4" t="str">
        <f>CONCATENATE($AP$9," 3B")</f>
        <v>Plecy 3B</v>
      </c>
      <c r="AQ33" s="5">
        <f>IF($AN$30="",0,IF($AP$11="","",(VLOOKUP(VIONARO!S21,Formeln!$A$2:$H$6,8,FALSE))))</f>
        <v>0</v>
      </c>
      <c r="AR33" s="5">
        <f>IF($AN$30=0,"",IF($AQ$11="","",$AQ$11-42))</f>
        <v>522</v>
      </c>
      <c r="AS33" s="5">
        <f>IF($AN$30=0,"",16)</f>
        <v>16</v>
      </c>
      <c r="AT33" s="35">
        <f>IF($AN$30=0,"",1)</f>
        <v>1</v>
      </c>
      <c r="BC33" t="str">
        <f>CONCATENATE(HLOOKUP(VIONARO!I4,Sprachen!A2:K56,55,FALSE)," C")</f>
        <v>Front C</v>
      </c>
      <c r="BI33" s="171"/>
      <c r="BJ33" s="171"/>
      <c r="BK33" s="171"/>
    </row>
    <row r="34" spans="1:63" ht="15.75" thickBot="1" x14ac:dyDescent="0.3">
      <c r="A34" s="4"/>
      <c r="B34" s="5" t="str">
        <f>IF(AND(($A$30&gt;$D$6),($A$30&lt;$E$6),(VIONARO!$I$8&gt;Formeln!G6)),$A$6,"")</f>
        <v/>
      </c>
      <c r="C34" s="16" t="str">
        <f>IF(B34="","",VLOOKUP(B34,$A$2:$E$6,4,FALSE))</f>
        <v/>
      </c>
      <c r="D34" s="16" t="str">
        <f>IF(C34="","",$A$30-C34)</f>
        <v/>
      </c>
      <c r="E34" s="6" t="str">
        <f>IF(D34="","",IF(D34&gt;122,"x","0"))</f>
        <v/>
      </c>
      <c r="F34" s="5" t="str">
        <f t="shared" si="3"/>
        <v/>
      </c>
      <c r="G34" s="7" t="str">
        <f>IF(D34="","",IF(D34&gt;218,"x","0"))</f>
        <v/>
      </c>
      <c r="H34" s="20" t="s">
        <v>63</v>
      </c>
      <c r="I34" s="21" t="s">
        <v>63</v>
      </c>
      <c r="J34" s="21" t="s">
        <v>63</v>
      </c>
      <c r="K34" s="21" t="s">
        <v>63</v>
      </c>
      <c r="L34" s="23">
        <f>IF(VIONARO!$I$8&gt;452,450,"")</f>
        <v>450</v>
      </c>
      <c r="M34" s="23">
        <f>IF(VIONARO!$I$8&gt;502,500,"")</f>
        <v>500</v>
      </c>
      <c r="N34" s="23" t="str">
        <f>IF(VIONARO!$I$8&gt;552,550,"")</f>
        <v/>
      </c>
      <c r="O34" s="23" t="str">
        <f>IF(VIONARO!$I$8&gt;602,600,"")</f>
        <v/>
      </c>
      <c r="P34" s="21" t="s">
        <v>63</v>
      </c>
      <c r="Q34" s="16"/>
      <c r="R34" s="21" t="s">
        <v>63</v>
      </c>
      <c r="S34" s="21"/>
      <c r="T34" s="21"/>
      <c r="U34" s="21"/>
      <c r="V34" s="21"/>
      <c r="W34" s="21"/>
      <c r="X34" s="21"/>
      <c r="Y34" s="21"/>
      <c r="Z34" s="22"/>
      <c r="AB34" s="34" t="s">
        <v>426</v>
      </c>
      <c r="AC34" s="6" t="str">
        <f>'Auswahl Führung'!P21</f>
        <v/>
      </c>
      <c r="AD34" s="38"/>
      <c r="AE34" s="6" t="str">
        <f>AE29</f>
        <v/>
      </c>
      <c r="AF34" s="38"/>
      <c r="AG34" s="5" t="str">
        <f t="shared" si="0"/>
        <v>Führung</v>
      </c>
      <c r="AH34" s="5" t="str">
        <f>IF(VIONARO!O21="","0",VLOOKUP(AG34,Artikeldaten!F:H,3,FALSE))</f>
        <v>0</v>
      </c>
      <c r="AI34" s="5" t="str">
        <f>IF(AH34="0","0",VLOOKUP($AH34,Artikeldaten!$H:$K,3,FALSE))</f>
        <v>0</v>
      </c>
      <c r="AJ34" s="5" t="str">
        <f>IF(AH34="0","0",VLOOKUP($AH34,Artikeldaten!$H:$K,4,FALSE))</f>
        <v>0</v>
      </c>
      <c r="AK34" s="35" t="str">
        <f>IF(VIONARO!O21="","0",1)</f>
        <v>0</v>
      </c>
      <c r="AL34" s="8"/>
      <c r="AM34" s="9" t="str">
        <f>IF(AND(OR(AL30=450,AL30=500,AL30=550,AL30=600,AL30=650),BC34&lt;&gt;"VIONARO H63"),IF(AND(BC34&lt;&gt;"VIONARO H185",BC34&lt;&gt;"VIONARO H249"),IF(AL28&lt;261,"TIPMATIC 60KG",""),"TIPMATIC 60KG"),"")</f>
        <v/>
      </c>
      <c r="AN34" s="9"/>
      <c r="AO34" s="15" t="str">
        <f>IF(OR(AN30=450,AN30=500,AN30=550,AN30=600,AN30=650),"TIPMATIC 60KG","")</f>
        <v/>
      </c>
      <c r="AP34" s="8"/>
      <c r="AQ34" s="9"/>
      <c r="AR34" s="9"/>
      <c r="AS34" s="9"/>
      <c r="AT34" s="9"/>
      <c r="AU34" s="1" t="str">
        <f>AC34</f>
        <v/>
      </c>
      <c r="AV34" s="2" t="str">
        <f>AE34</f>
        <v/>
      </c>
      <c r="AW34" s="2" t="str">
        <f>CONCATENATE(AU34,AV34)</f>
        <v/>
      </c>
      <c r="AX34" s="2" t="str">
        <f>IF(AU34="","--",VLOOKUP($AW34,$C$59:$H$84,2,FALSE))</f>
        <v>--</v>
      </c>
      <c r="AY34" s="2" t="str">
        <f>IF(AU34="","--",VLOOKUP($AW34,$C$59:$H$84,3,FALSE))</f>
        <v>--</v>
      </c>
      <c r="AZ34" s="2" t="str">
        <f>IF(AU34="","--",VLOOKUP($AW34,$C$59:$H$84,4,FALSE))</f>
        <v>--</v>
      </c>
      <c r="BA34" s="2" t="str">
        <f>IF(AU34="","--",VLOOKUP($AW34,$C$59:$H$84,5,FALSE))</f>
        <v>--</v>
      </c>
      <c r="BB34" s="3" t="str">
        <f>IF(AU34="","--",VLOOKUP($AW34,$C$59:$H$84,6,FALSE))</f>
        <v>--</v>
      </c>
      <c r="BC34" s="161" t="str">
        <f>AD29</f>
        <v/>
      </c>
      <c r="BD34" s="162" t="str">
        <f>IF(BC34="","-",VLOOKUP($BC$34,$A$87:$D$91,2,FALSE))</f>
        <v>-</v>
      </c>
      <c r="BE34" s="162" t="str">
        <f>IF(BC34="","-",VLOOKUP($BC$34,$A$87:$D$91,3,FALSE))</f>
        <v>-</v>
      </c>
      <c r="BF34" s="163" t="str">
        <f>IF(BC34="","-",VLOOKUP($BC$34,$A$87:$D$91,4,FALSE))</f>
        <v>-</v>
      </c>
      <c r="BI34" s="168" t="str">
        <f>IF(BC34="","-",VIONARO!$I$7-(Formeln!$BG$18+Formeln!$BH$18))</f>
        <v>-</v>
      </c>
      <c r="BJ34" s="169" t="str">
        <f>IF(BC34="","-",VIONARO!M21)</f>
        <v>-</v>
      </c>
      <c r="BK34" s="171"/>
    </row>
    <row r="35" spans="1:63" ht="15.75" thickBot="1" x14ac:dyDescent="0.3">
      <c r="A35" s="8"/>
      <c r="B35" s="9"/>
      <c r="C35" s="9"/>
      <c r="D35" s="9"/>
      <c r="E35" s="10" t="str">
        <f>IF(IF(VIONARO!O21="","",VLOOKUP(VIONARO!O21,Formeln!B30:G34,4,FALSE))="x","VIONARO H89","")</f>
        <v/>
      </c>
      <c r="F35" s="9" t="str">
        <f>IF(IF(VIONARO!O21="","",VLOOKUP(VIONARO!O21,Formeln!B30:G34,5,FALSE))="x","VIONARO H121","")</f>
        <v/>
      </c>
      <c r="G35" s="11" t="str">
        <f>IF(IF(VIONARO!O21="","",VLOOKUP(VIONARO!O21,Formeln!B30:G34,6,FALSE))="x","VIONARO H185","")</f>
        <v/>
      </c>
      <c r="H35" s="8" t="str">
        <f>IF(VIONARO!O21="","",VLOOKUP(VIONARO!$O$21,Formeln!$B$30:$P$34,7,FALSE))</f>
        <v/>
      </c>
      <c r="I35" s="9" t="str">
        <f>IF(VIONARO!O21="","",VLOOKUP(VIONARO!$O$21,Formeln!$B$30:$P$34,8,FALSE))</f>
        <v/>
      </c>
      <c r="J35" s="9" t="str">
        <f>IF(VIONARO!O21="","",VLOOKUP(VIONARO!$O$21,Formeln!$B$30:$P$34,9,FALSE))</f>
        <v/>
      </c>
      <c r="K35" s="9" t="str">
        <f>IF(VIONARO!O21="","",VLOOKUP(VIONARO!$O$21,Formeln!$B$30:$P$34,10,FALSE))</f>
        <v/>
      </c>
      <c r="L35" s="9" t="str">
        <f>IF(VIONARO!O21="","",VLOOKUP(VIONARO!$O$21,Formeln!$B$30:$P$34,11,FALSE))</f>
        <v/>
      </c>
      <c r="M35" s="9" t="str">
        <f>IF(VIONARO!O21="","",VLOOKUP(VIONARO!$O$21,Formeln!$B$30:$P$34,12,FALSE))</f>
        <v/>
      </c>
      <c r="N35" s="9" t="str">
        <f>IF(VIONARO!O21="","",VLOOKUP(VIONARO!$O$21,Formeln!$B$30:$P$34,13,FALSE))</f>
        <v/>
      </c>
      <c r="O35" s="9" t="str">
        <f>IF(VIONARO!O21="","",VLOOKUP(VIONARO!$O$21,Formeln!$B$30:$P$34,14,FALSE))</f>
        <v/>
      </c>
      <c r="P35" s="9" t="str">
        <f>IF(VIONARO!O21="","",VLOOKUP(VIONARO!$O$21,Formeln!$B$30:$P$34,15,FALSE))</f>
        <v/>
      </c>
      <c r="Q35" s="17"/>
      <c r="R35" s="9" t="str">
        <f>IF(VIONARO!S21="","",VLOOKUP(VIONARO!$S$21,$Q$30:$Z$34,2,FALSE))</f>
        <v/>
      </c>
      <c r="S35" s="9" t="str">
        <f>IF(VIONARO!S21="","",VLOOKUP(VIONARO!$S$21,$Q$30:$Z$34,3,FALSE))</f>
        <v/>
      </c>
      <c r="T35" s="9" t="str">
        <f>IF(VIONARO!S21="","",VLOOKUP(VIONARO!$S$21,$Q$30:$Z$34,4,FALSE))</f>
        <v/>
      </c>
      <c r="U35" s="9" t="str">
        <f>IF(VIONARO!S21="","",VLOOKUP(VIONARO!$S$21,$Q$30:$Z$34,5,FALSE))</f>
        <v/>
      </c>
      <c r="V35" s="9" t="str">
        <f>IF(VIONARO!S21="","",VLOOKUP(VIONARO!$S$21,$Q$30:$Z$34,6,FALSE))</f>
        <v/>
      </c>
      <c r="W35" s="9" t="str">
        <f>IF(VIONARO!S21="","",VLOOKUP(VIONARO!$S$21,$Q$30:$Z$34,7,FALSE))</f>
        <v/>
      </c>
      <c r="X35" s="9" t="str">
        <f>IF(VIONARO!S21="","",VLOOKUP(VIONARO!$S$21,$Q$30:$Z$34,8,FALSE))</f>
        <v/>
      </c>
      <c r="Y35" s="9" t="str">
        <f>IF(VIONARO!S21="","",VLOOKUP(VIONARO!$S$21,$Q$30:$Z$34,9,FALSE))</f>
        <v/>
      </c>
      <c r="Z35" s="15" t="str">
        <f>IF(VIONARO!S21="","",VLOOKUP(VIONARO!$S$21,$Q$30:$Z$34,10,FALSE))</f>
        <v/>
      </c>
      <c r="AB35" s="37" t="s">
        <v>426</v>
      </c>
      <c r="AC35" s="10" t="str">
        <f>'Auswahl Führung'!R21</f>
        <v/>
      </c>
      <c r="AD35" s="40"/>
      <c r="AE35" s="10" t="str">
        <f>AE30</f>
        <v/>
      </c>
      <c r="AF35" s="40"/>
      <c r="AG35" s="9" t="str">
        <f t="shared" si="0"/>
        <v>Führung</v>
      </c>
      <c r="AH35" s="9" t="str">
        <f>IF(VIONARO!S21="","0",VLOOKUP(AG35,Artikeldaten!F:H,3,FALSE))</f>
        <v>0</v>
      </c>
      <c r="AI35" s="9" t="str">
        <f>IF(AH35="0","0",VLOOKUP($AH35,Artikeldaten!$H:$K,3,FALSE))</f>
        <v>0</v>
      </c>
      <c r="AJ35" s="9" t="str">
        <f>IF(AH35="0","0",VLOOKUP($AH35,Artikeldaten!$H:$K,4,FALSE))</f>
        <v>0</v>
      </c>
      <c r="AK35" s="15" t="str">
        <f>IF(VIONARO!S21="","0",1)</f>
        <v>0</v>
      </c>
      <c r="AU35" s="8" t="str">
        <f>AC35</f>
        <v/>
      </c>
      <c r="AV35" s="9" t="str">
        <f>AE35</f>
        <v/>
      </c>
      <c r="AW35" s="9" t="str">
        <f>CONCATENATE(AU35,AV35)</f>
        <v/>
      </c>
      <c r="AX35" s="9" t="str">
        <f>IF(AU35="","--",VLOOKUP($AW35,$C$59:$H$84,2,FALSE))</f>
        <v>--</v>
      </c>
      <c r="AY35" s="9" t="str">
        <f>IF(AU35="","--",VLOOKUP($AW35,$C$59:$H$84,3,FALSE))</f>
        <v>--</v>
      </c>
      <c r="AZ35" s="9" t="str">
        <f>IF(AU35="","--",VLOOKUP($AW35,$C$59:$H$84,4,FALSE))</f>
        <v>--</v>
      </c>
      <c r="BA35" s="9" t="str">
        <f>IF(AU35="","--",VLOOKUP($AW35,$C$59:$H$84,5,FALSE))</f>
        <v>--</v>
      </c>
      <c r="BB35" s="15" t="str">
        <f>IF(AU35="","--",VLOOKUP($AW35,$C$59:$H$84,6,FALSE))</f>
        <v>--</v>
      </c>
      <c r="BC35" t="str">
        <f>IF(BC34="","-",IF(AC31="Spreizdübel Ø 8 mm",(CONCATENATE("Ø ",8," mm")),(CONCATENATE("Ø ",3," mm"))))</f>
        <v>-</v>
      </c>
      <c r="BD35" s="164" t="str">
        <f>IF(BC34="","-",64.5)</f>
        <v>-</v>
      </c>
      <c r="BE35" s="164" t="str">
        <f>BE34</f>
        <v>-</v>
      </c>
      <c r="BF35" s="164" t="str">
        <f>BF34</f>
        <v>-</v>
      </c>
      <c r="BG35" s="166" t="str">
        <f>IF(BC34="","-",14.5+(VIONARO!$I$6-$BG$18))</f>
        <v>-</v>
      </c>
      <c r="BH35" s="167" t="str">
        <f>IF(BC34="","-",14.5+(VIONARO!$I$6-Formeln!$BH$18))</f>
        <v>-</v>
      </c>
      <c r="BI35" s="170"/>
      <c r="BJ35" s="171"/>
      <c r="BK35" s="171"/>
    </row>
    <row r="36" spans="1:63" ht="15.75" thickBot="1" x14ac:dyDescent="0.3">
      <c r="AE36" s="13"/>
      <c r="AF36" s="13"/>
      <c r="AG36" t="str">
        <f t="shared" si="0"/>
        <v/>
      </c>
      <c r="AL36">
        <f>A38</f>
        <v>0</v>
      </c>
      <c r="AX36" t="str">
        <f>IF(OR(AX35="--",AY35="--",AZ35="--",BA35="--",BB35="--",AX34="--",AY34="--",AZ34="--",BA34="--",BB34="--",AX28="-- = Keine Bohrung benötigt"),$A$45,"")</f>
        <v>-- = Wiercenie niewymagane</v>
      </c>
      <c r="BC36" t="str">
        <f>IF(OR(BC34="VIONARO H185",BC34="VIONARO H249"),"Ø 8 mm","--")</f>
        <v>--</v>
      </c>
      <c r="BD36" t="str">
        <f>IF(OR(BD35="--",BE35="--",BF35="--",BD27="--",BE27="--",BF27="--",BD28="-- = Keine Bohrung benötigt"),$A$45,"")</f>
        <v>-- = Wiercenie niewymagane</v>
      </c>
      <c r="BI36" s="171"/>
      <c r="BJ36" s="171"/>
      <c r="BK36" s="171"/>
    </row>
    <row r="37" spans="1:63" x14ac:dyDescent="0.25">
      <c r="A37" s="1" t="s">
        <v>13</v>
      </c>
      <c r="B37" s="2"/>
      <c r="C37" s="2"/>
      <c r="D37" s="2"/>
      <c r="E37" s="2" t="s">
        <v>6</v>
      </c>
      <c r="F37" s="2" t="s">
        <v>980</v>
      </c>
      <c r="G37" s="3" t="s">
        <v>7</v>
      </c>
      <c r="H37" s="293" t="s">
        <v>64</v>
      </c>
      <c r="I37" s="294"/>
      <c r="J37" s="294"/>
      <c r="K37" s="294"/>
      <c r="L37" s="294"/>
      <c r="M37" s="294"/>
      <c r="N37" s="294"/>
      <c r="O37" s="294"/>
      <c r="P37" s="294"/>
      <c r="Q37" s="294" t="s">
        <v>65</v>
      </c>
      <c r="R37" s="294"/>
      <c r="S37" s="294"/>
      <c r="T37" s="294"/>
      <c r="U37" s="294"/>
      <c r="V37" s="294"/>
      <c r="W37" s="294"/>
      <c r="X37" s="294"/>
      <c r="Y37" s="294"/>
      <c r="Z37" s="295"/>
      <c r="AB37" s="18" t="s">
        <v>424</v>
      </c>
      <c r="AC37" s="39"/>
      <c r="AD37" s="19" t="str">
        <f>VIONARO!O19</f>
        <v/>
      </c>
      <c r="AE37" s="19" t="str">
        <f>VIONARO!Q19</f>
        <v/>
      </c>
      <c r="AF37" s="19" t="str">
        <f>VIONARO!$I$9</f>
        <v>Graphit</v>
      </c>
      <c r="AG37" s="2" t="str">
        <f t="shared" si="0"/>
        <v>ZARGENGraphit</v>
      </c>
      <c r="AH37" s="2" t="str">
        <f>IF(VIONARO!O19="","0",VLOOKUP(AG37,Artikeldaten!F:H,3,FALSE))</f>
        <v>0</v>
      </c>
      <c r="AI37" s="2" t="str">
        <f>IF(AH37="0","0",VLOOKUP($AH37,Artikeldaten!$H:$K,3,FALSE))</f>
        <v>0</v>
      </c>
      <c r="AJ37" s="2" t="str">
        <f>IF(AH37="0","0",VLOOKUP($AH37,Artikeldaten!$H:$K,4,FALSE))</f>
        <v>0</v>
      </c>
      <c r="AK37" s="3" t="str">
        <f>IF(VIONARO!O19="","0",1)</f>
        <v>0</v>
      </c>
      <c r="AL37" s="47" t="s">
        <v>507</v>
      </c>
      <c r="AM37" s="2"/>
      <c r="AN37" s="48" t="s">
        <v>508</v>
      </c>
      <c r="AO37" s="3"/>
      <c r="AP37" s="1"/>
      <c r="AQ37" s="2" t="s">
        <v>514</v>
      </c>
      <c r="AR37" s="2" t="s">
        <v>455</v>
      </c>
      <c r="AS37" s="2" t="s">
        <v>515</v>
      </c>
      <c r="AT37" s="3" t="s">
        <v>454</v>
      </c>
      <c r="BI37" s="171"/>
      <c r="BJ37" s="171"/>
      <c r="BK37" s="171"/>
    </row>
    <row r="38" spans="1:63" x14ac:dyDescent="0.25">
      <c r="A38" s="4">
        <f>VIONARO!M19</f>
        <v>0</v>
      </c>
      <c r="B38" s="5" t="str">
        <f>IF(AND(($A$38&gt;$D$2),($A$38&lt;$E$2),(VIONARO!I8&gt;Formeln!G2)),$A$2,"")</f>
        <v/>
      </c>
      <c r="C38" s="5" t="str">
        <f>IF(B38="","",VLOOKUP(B38,$A$2:$E$5,4,FALSE))</f>
        <v/>
      </c>
      <c r="D38" s="5" t="str">
        <f>IF(C38="","",$A$38-C38)</f>
        <v/>
      </c>
      <c r="E38" s="6" t="str">
        <f>IF(D38="","",IF(D38&gt;122,"x","0"))</f>
        <v/>
      </c>
      <c r="F38" s="5" t="str">
        <f>IF(D38="","",IF(D38&gt;153,"x","0"))</f>
        <v/>
      </c>
      <c r="G38" s="7" t="str">
        <f>IF(D38="","",IF(D38&gt;218,"x","0"))</f>
        <v/>
      </c>
      <c r="H38" s="20" t="s">
        <v>63</v>
      </c>
      <c r="I38" s="21" t="s">
        <v>63</v>
      </c>
      <c r="J38" s="21" t="s">
        <v>63</v>
      </c>
      <c r="K38" s="21" t="s">
        <v>63</v>
      </c>
      <c r="L38" s="23">
        <f>IF(VIONARO!$I$8&gt;452,450,"")</f>
        <v>450</v>
      </c>
      <c r="M38" s="23">
        <f>IF(VIONARO!$I$8&gt;502,500,"")</f>
        <v>500</v>
      </c>
      <c r="N38" s="23" t="str">
        <f>IF(VIONARO!$I$8&gt;552,550,"")</f>
        <v/>
      </c>
      <c r="O38" s="21" t="s">
        <v>63</v>
      </c>
      <c r="P38" s="21" t="s">
        <v>63</v>
      </c>
      <c r="Q38" s="16"/>
      <c r="R38" s="21"/>
      <c r="S38" s="21"/>
      <c r="T38" s="21"/>
      <c r="U38" s="21"/>
      <c r="V38" s="21"/>
      <c r="W38" s="21"/>
      <c r="X38" s="21"/>
      <c r="Y38" s="21"/>
      <c r="Z38" s="22"/>
      <c r="AB38" s="34" t="s">
        <v>424</v>
      </c>
      <c r="AC38" s="38"/>
      <c r="AD38" s="6" t="str">
        <f>VIONARO!S19</f>
        <v/>
      </c>
      <c r="AE38" s="6" t="str">
        <f>VIONARO!U19</f>
        <v/>
      </c>
      <c r="AF38" s="6" t="str">
        <f>VIONARO!$I$9</f>
        <v>Graphit</v>
      </c>
      <c r="AG38" s="5" t="str">
        <f t="shared" si="0"/>
        <v>ZARGENGraphit</v>
      </c>
      <c r="AH38" s="5" t="str">
        <f>IF(VIONARO!S19="","0",VLOOKUP(AG38,Artikeldaten!F:H,3,FALSE))</f>
        <v>0</v>
      </c>
      <c r="AI38" s="5" t="str">
        <f>IF(AH38="0","0",VLOOKUP($AH38,Artikeldaten!$H:$K,3,FALSE))</f>
        <v>0</v>
      </c>
      <c r="AJ38" s="5" t="str">
        <f>IF(AH38="0","0",VLOOKUP($AH38,Artikeldaten!$H:$K,4,FALSE))</f>
        <v>0</v>
      </c>
      <c r="AK38" s="35" t="str">
        <f>IF(VIONARO!S19="","0",1)</f>
        <v>0</v>
      </c>
      <c r="AL38" s="4" t="str">
        <f>VIONARO!Q19</f>
        <v/>
      </c>
      <c r="AM38" s="5"/>
      <c r="AN38" s="5" t="str">
        <f>VIONARO!U19</f>
        <v/>
      </c>
      <c r="AO38" s="35" t="str">
        <f>IF('Auswahl Führung'!N19="","",IF(VIONARO!S19="",HLOOKUP(VIONARO!I4,Übersetzung,35,FALSE),""))</f>
        <v/>
      </c>
      <c r="AP38" s="4" t="str">
        <f>CONCATENATE($AP$8," 4A")</f>
        <v>Dno 4A</v>
      </c>
      <c r="AQ38" s="5">
        <f>IF(VIONARO!I10&gt;3,(IF($AP$11=0,"",IF(AL38=0,"",AL38-11))),0)</f>
        <v>0</v>
      </c>
      <c r="AR38" s="5">
        <f>IF($AP$11=0,"",IF(AL38=0,"",$AQ$11-21))</f>
        <v>543</v>
      </c>
      <c r="AS38" s="5">
        <f>IF(AL38=0,"",IF($AP$11=0,"",16))</f>
        <v>16</v>
      </c>
      <c r="AT38" s="35">
        <f>IF(AL38=0,"",IF($AP$11=0,"",1))</f>
        <v>1</v>
      </c>
      <c r="BI38" s="171"/>
      <c r="BJ38" s="171"/>
      <c r="BK38" s="171"/>
    </row>
    <row r="39" spans="1:63" x14ac:dyDescent="0.25">
      <c r="A39" s="4"/>
      <c r="B39" s="5" t="str">
        <f>IF(AND(($A$38&gt;$D$3),($A$38&lt;$E$3),(VIONARO!I8&gt;Formeln!G3)),$A$3,"")</f>
        <v/>
      </c>
      <c r="C39" s="5" t="str">
        <f>IF(B39="","",VLOOKUP(B39,$A$2:$E$5,4,FALSE))</f>
        <v/>
      </c>
      <c r="D39" s="5" t="str">
        <f>IF(C39="","",$A$38-C39)</f>
        <v/>
      </c>
      <c r="E39" s="6" t="str">
        <f>IF(D39="","",IF(D39&gt;122,"x","0"))</f>
        <v/>
      </c>
      <c r="F39" s="5" t="str">
        <f t="shared" ref="F39:F42" si="4">IF(D39="","",IF(D39&gt;153,"x","0"))</f>
        <v/>
      </c>
      <c r="G39" s="7" t="str">
        <f>IF(D39="","",IF(D39&gt;218,"x","0"))</f>
        <v/>
      </c>
      <c r="H39" s="24">
        <f>IF(VIONARO!$I$8&gt;272,270,"")</f>
        <v>270</v>
      </c>
      <c r="I39" s="23">
        <f>IF(VIONARO!$I$8&gt;302,300,"")</f>
        <v>300</v>
      </c>
      <c r="J39" s="23">
        <f>IF(VIONARO!$I$8&gt;352,350,"")</f>
        <v>350</v>
      </c>
      <c r="K39" s="23">
        <f>IF(VIONARO!$I$8&gt;402,400,"")</f>
        <v>400</v>
      </c>
      <c r="L39" s="23">
        <f>IF(VIONARO!$I$8&gt;452,450,"")</f>
        <v>450</v>
      </c>
      <c r="M39" s="23">
        <f>IF(VIONARO!$I$8&gt;502,500,"")</f>
        <v>500</v>
      </c>
      <c r="N39" s="23" t="str">
        <f>IF(VIONARO!$I$8&gt;552,550,"")</f>
        <v/>
      </c>
      <c r="O39" s="23" t="str">
        <f>IF(VIONARO!$I$8&gt;602,600,"")</f>
        <v/>
      </c>
      <c r="P39" s="23" t="str">
        <f>IF(VIONARO!$I$8&gt;652,650,"")</f>
        <v/>
      </c>
      <c r="Q39" s="16" t="str">
        <f>E43</f>
        <v/>
      </c>
      <c r="R39" s="23">
        <f>IF(AND((VIONARO!$I$8&gt;281),(VIONARO!$Q$19&gt;=270)),270,"")</f>
        <v>270</v>
      </c>
      <c r="S39" s="23">
        <f>IF(AND((VIONARO!$I$8&gt;311),(VIONARO!$Q$19&gt;=300)),300,"")</f>
        <v>300</v>
      </c>
      <c r="T39" s="23">
        <f>IF(AND((VIONARO!$I$8&gt;361),(VIONARO!$Q$19&gt;=350)),350,"")</f>
        <v>350</v>
      </c>
      <c r="U39" s="23">
        <f>IF(AND((VIONARO!$I$8&gt;411),(VIONARO!$Q$19&gt;=400)),400,"")</f>
        <v>400</v>
      </c>
      <c r="V39" s="23">
        <f>IF(AND((VIONARO!$I$8&gt;461),(VIONARO!$Q$19&gt;=450)),450,"")</f>
        <v>450</v>
      </c>
      <c r="W39" s="23" t="str">
        <f>IF(AND((VIONARO!$I$8&gt;511),(VIONARO!$Q$19&gt;=500)),500,"")</f>
        <v/>
      </c>
      <c r="X39" s="23" t="str">
        <f>IF(AND((VIONARO!$I$8&gt;561),(VIONARO!$Q$19&gt;=550)),550,"")</f>
        <v/>
      </c>
      <c r="Y39" s="23" t="str">
        <f>IF(AND((VIONARO!$I$8&gt;611),(VIONARO!$Q$19&gt;=600)),600,"")</f>
        <v/>
      </c>
      <c r="Z39" s="25" t="str">
        <f>IF(AND((VIONARO!$I$8&gt;661),(VIONARO!$Q$19&gt;=650)),650,"")</f>
        <v/>
      </c>
      <c r="AB39" s="36" t="s">
        <v>418</v>
      </c>
      <c r="AC39" s="6" t="e">
        <f>VLOOKUP('Auswahl Führung'!T19,$AC$46:$AD$63,2,FALSE)</f>
        <v>#N/A</v>
      </c>
      <c r="AD39" s="6" t="str">
        <f>AD37</f>
        <v/>
      </c>
      <c r="AE39" s="21"/>
      <c r="AF39" s="6" t="str">
        <f>VIONARO!$I$9</f>
        <v>Graphit</v>
      </c>
      <c r="AG39" s="5" t="e">
        <f t="shared" si="0"/>
        <v>#N/A</v>
      </c>
      <c r="AH39" s="5" t="str">
        <f>IF(VIONARO!O19="","0",VLOOKUP(AG39,Artikeldaten!F:H,3,FALSE))</f>
        <v>0</v>
      </c>
      <c r="AI39" s="5" t="str">
        <f>IF(AH39="0","0",VLOOKUP($AH39,Artikeldaten!$H:$K,3,FALSE))</f>
        <v>0</v>
      </c>
      <c r="AJ39" s="5" t="str">
        <f>IF(AH39="0","0",VLOOKUP($AH39,Artikeldaten!$H:$K,4,FALSE))</f>
        <v>0</v>
      </c>
      <c r="AK39" s="35" t="str">
        <f>IF(VIONARO!O19="","0",1)</f>
        <v>0</v>
      </c>
      <c r="AL39" s="4"/>
      <c r="AM39" s="5" t="str">
        <f>IF(OR(AL38=270,AL38=300,AL38=350,AL38=400,AL38=450,AL38=500,AL38=550,AL38=600),"SOFT-CLOSE 40KG","")</f>
        <v/>
      </c>
      <c r="AN39" s="5"/>
      <c r="AO39" s="35" t="str">
        <f>IF(OR(AN38=270,AN38=300,AN38=350,AN38=400,AN38=450,AN38=500,AN38=550,AN38=600),"SOFT-CLOSE 40KG","")</f>
        <v/>
      </c>
      <c r="AP39" s="4" t="str">
        <f>CONCATENATE($AP$9," 4A")</f>
        <v>Plecy 4A</v>
      </c>
      <c r="AQ39" s="5">
        <f>IF(VIONARO!I10&gt;3,(IF($AP$11=0,"",IF(AL38=0,"",(VLOOKUP(VIONARO!O19,Formeln!$A$2:$H$6,8,FALSE))))),0)</f>
        <v>0</v>
      </c>
      <c r="AR39" s="5">
        <f>IF($AP$11=0,"",IF(AL38=0,"",$AQ$11-42))</f>
        <v>522</v>
      </c>
      <c r="AS39" s="5">
        <f>IF(AL38=0,"",IF($AP$11=0,"",16))</f>
        <v>16</v>
      </c>
      <c r="AT39" s="35">
        <f>IF(AL38=0,"",IF($AP$11=0,"",1))</f>
        <v>1</v>
      </c>
      <c r="BI39" s="171"/>
      <c r="BJ39" s="171"/>
      <c r="BK39" s="171"/>
    </row>
    <row r="40" spans="1:63" x14ac:dyDescent="0.25">
      <c r="A40" s="4"/>
      <c r="B40" s="5" t="str">
        <f>IF(AND(($A$38&gt;$D$4),($A$38&lt;$E$4),(VIONARO!I8&gt;Formeln!G4)),$A$4,"")</f>
        <v/>
      </c>
      <c r="C40" s="5" t="str">
        <f>IF(B40="","",VLOOKUP(B40,$A$2:$E$5,4,FALSE))</f>
        <v/>
      </c>
      <c r="D40" s="5" t="str">
        <f>IF(C40="","",$A$38-C40)</f>
        <v/>
      </c>
      <c r="E40" s="6" t="str">
        <f>IF(D40="","",IF(D40&gt;122,"x","0"))</f>
        <v/>
      </c>
      <c r="F40" s="5" t="str">
        <f t="shared" si="4"/>
        <v/>
      </c>
      <c r="G40" s="7" t="str">
        <f>IF(D40="","",IF(D40&gt;218,"x","0"))</f>
        <v/>
      </c>
      <c r="H40" s="20" t="s">
        <v>63</v>
      </c>
      <c r="I40" s="21" t="s">
        <v>63</v>
      </c>
      <c r="J40" s="23">
        <f>IF(VIONARO!$I$8&gt;352,350,"")</f>
        <v>350</v>
      </c>
      <c r="K40" s="23">
        <f>IF(VIONARO!$I$8&gt;402,400,"")</f>
        <v>400</v>
      </c>
      <c r="L40" s="23">
        <f>IF(VIONARO!$I$8&gt;452,450,"")</f>
        <v>450</v>
      </c>
      <c r="M40" s="23">
        <f>IF(VIONARO!$I$8&gt;502,500,"")</f>
        <v>500</v>
      </c>
      <c r="N40" s="23" t="str">
        <f>IF(VIONARO!$I$8&gt;552,550,"")</f>
        <v/>
      </c>
      <c r="O40" s="21" t="s">
        <v>63</v>
      </c>
      <c r="P40" s="21" t="s">
        <v>63</v>
      </c>
      <c r="Q40" s="16" t="str">
        <f>F43</f>
        <v/>
      </c>
      <c r="R40" s="21" t="s">
        <v>63</v>
      </c>
      <c r="S40" s="21" t="s">
        <v>63</v>
      </c>
      <c r="T40" s="23">
        <f>IF(AND((VIONARO!$I$8&gt;361),(VIONARO!$Q$19&gt;=350)),350,"")</f>
        <v>350</v>
      </c>
      <c r="U40" s="23">
        <f>IF(AND((VIONARO!$I$8&gt;411),(VIONARO!$Q$19&gt;=400)),400,"")</f>
        <v>400</v>
      </c>
      <c r="V40" s="23">
        <f>IF(AND((VIONARO!$I$8&gt;461),(VIONARO!$Q$19&gt;=450)),450,"")</f>
        <v>450</v>
      </c>
      <c r="W40" s="23" t="str">
        <f>IF(AND((VIONARO!$I$8&gt;511),(VIONARO!$Q$19&gt;=500)),500,"")</f>
        <v/>
      </c>
      <c r="X40" s="23" t="str">
        <f>IF(AND((VIONARO!$I$8&gt;561),(VIONARO!$Q$19&gt;=550)),550,"")</f>
        <v/>
      </c>
      <c r="Y40" s="21" t="s">
        <v>63</v>
      </c>
      <c r="Z40" s="22" t="s">
        <v>63</v>
      </c>
      <c r="AB40" s="36" t="s">
        <v>418</v>
      </c>
      <c r="AC40" s="29" t="s">
        <v>417</v>
      </c>
      <c r="AD40" s="6" t="str">
        <f>AD38</f>
        <v/>
      </c>
      <c r="AE40" s="21"/>
      <c r="AF40" s="6" t="str">
        <f>VIONARO!$I$9</f>
        <v>Graphit</v>
      </c>
      <c r="AG40" s="5" t="str">
        <f t="shared" si="0"/>
        <v>BefestigungInnenblendeGraphit</v>
      </c>
      <c r="AH40" s="5" t="str">
        <f>IF(VIONARO!S19="","0",VLOOKUP(AG40,Artikeldaten!F:H,3,FALSE))</f>
        <v>0</v>
      </c>
      <c r="AI40" s="5" t="str">
        <f>IF(AH40="0","0",VLOOKUP($AH40,Artikeldaten!$H:$K,3,FALSE))</f>
        <v>0</v>
      </c>
      <c r="AJ40" s="5" t="str">
        <f>IF(AH40="0","0",VLOOKUP($AH40,Artikeldaten!$H:$K,4,FALSE))</f>
        <v>0</v>
      </c>
      <c r="AK40" s="35" t="str">
        <f>IF(VIONARO!S19="","0",1)</f>
        <v>0</v>
      </c>
      <c r="AL40" s="4"/>
      <c r="AM40" s="5" t="str">
        <f>IF(AND(OR(AL38=450,AL38=500,AL38=550,AL38=600,AL38=650),BC42&lt;&gt;"VIONARO H63"),IF(AND(BC42&lt;&gt;"VIONARO H185",BC42&lt;&gt;"VIONARO H249"),IF(AL36&lt;261,"SOFT-CLOSE 70KG",""),"SOFT-CLOSE 70KG"),"")</f>
        <v/>
      </c>
      <c r="AN40" s="5"/>
      <c r="AO40" s="35" t="str">
        <f>IF(OR(AN38=450,AN38=500,AN38=550,AN38=600,AN38=650),"SOFT-CLOSE 70KG","")</f>
        <v/>
      </c>
      <c r="AP40" s="4" t="str">
        <f>CONCATENATE($AP$8," 4B")</f>
        <v>Dno 4B</v>
      </c>
      <c r="AQ40" s="5">
        <f>IF($AN$38="",0,IF(AN38="","",AN38-11))</f>
        <v>0</v>
      </c>
      <c r="AR40" s="5">
        <f>IF($AN$38=0,"",IF($AQ$11="","",$AQ$11-21))</f>
        <v>543</v>
      </c>
      <c r="AS40" s="5">
        <f>IF($AN$38=0,"",16)</f>
        <v>16</v>
      </c>
      <c r="AT40" s="35">
        <f>IF($AN$38=0,"",1)</f>
        <v>1</v>
      </c>
      <c r="BI40" s="171"/>
      <c r="BJ40" s="171"/>
      <c r="BK40" s="171"/>
    </row>
    <row r="41" spans="1:63" ht="15.75" thickBot="1" x14ac:dyDescent="0.3">
      <c r="A41" s="4"/>
      <c r="B41" s="5" t="str">
        <f>IF(AND(($A$38&gt;$D$5),($A$38&lt;$E$5),(VIONARO!I8&gt;Formeln!G5)),$A$5,"")</f>
        <v/>
      </c>
      <c r="C41" s="5" t="str">
        <f>IF(B41="","",VLOOKUP(B41,$A$2:$E$5,4,FALSE))</f>
        <v/>
      </c>
      <c r="D41" s="5" t="str">
        <f>IF(C41="","",$A$38-C41)</f>
        <v/>
      </c>
      <c r="E41" s="6" t="str">
        <f>IF(D41="","",IF(D41&gt;122,"x","0"))</f>
        <v/>
      </c>
      <c r="F41" s="5" t="str">
        <f t="shared" si="4"/>
        <v/>
      </c>
      <c r="G41" s="7" t="str">
        <f>IF(D41="","",IF(D41&gt;218,"x","0"))</f>
        <v/>
      </c>
      <c r="H41" s="24">
        <f>IF(VIONARO!$I$8&gt;272,270,"")</f>
        <v>270</v>
      </c>
      <c r="I41" s="23">
        <f>IF(VIONARO!$I$8&gt;302,300,"")</f>
        <v>300</v>
      </c>
      <c r="J41" s="23">
        <f>IF(VIONARO!$I$8&gt;352,350,"")</f>
        <v>350</v>
      </c>
      <c r="K41" s="23">
        <f>IF(VIONARO!$I$8&gt;402,400,"")</f>
        <v>400</v>
      </c>
      <c r="L41" s="23">
        <f>IF(VIONARO!$I$8&gt;452,450,"")</f>
        <v>450</v>
      </c>
      <c r="M41" s="23">
        <f>IF(VIONARO!$I$8&gt;502,500,"")</f>
        <v>500</v>
      </c>
      <c r="N41" s="23" t="str">
        <f>IF(VIONARO!$I$8&gt;552,550,"")</f>
        <v/>
      </c>
      <c r="O41" s="23" t="str">
        <f>IF(VIONARO!$I$8&gt;602,600,"")</f>
        <v/>
      </c>
      <c r="P41" s="23" t="str">
        <f>IF(VIONARO!$I$8&gt;652,650,"")</f>
        <v/>
      </c>
      <c r="Q41" s="16" t="str">
        <f>G43</f>
        <v/>
      </c>
      <c r="R41" s="23">
        <f>IF(AND((VIONARO!$I$8&gt;281),(VIONARO!$Q$19&gt;=270)),270,"")</f>
        <v>270</v>
      </c>
      <c r="S41" s="23">
        <f>IF(AND((VIONARO!$I$8&gt;311),(VIONARO!$Q$19&gt;=300)),300,"")</f>
        <v>300</v>
      </c>
      <c r="T41" s="23">
        <f>IF(AND((VIONARO!$I$8&gt;361),(VIONARO!$Q$19&gt;=350)),350,"")</f>
        <v>350</v>
      </c>
      <c r="U41" s="23">
        <f>IF(AND((VIONARO!$I$8&gt;411),(VIONARO!$Q$19&gt;=400)),400,"")</f>
        <v>400</v>
      </c>
      <c r="V41" s="23">
        <f>IF(AND((VIONARO!$I$8&gt;461),(VIONARO!$Q$19&gt;=450)),450,"")</f>
        <v>450</v>
      </c>
      <c r="W41" s="23" t="str">
        <f>IF(AND((VIONARO!$I$8&gt;511),(VIONARO!$Q$19&gt;=500)),500,"")</f>
        <v/>
      </c>
      <c r="X41" s="23" t="str">
        <f>IF(AND((VIONARO!$I$8&gt;561),(VIONARO!$Q$19&gt;=550)),550,"")</f>
        <v/>
      </c>
      <c r="Y41" s="23" t="str">
        <f>IF(AND((VIONARO!$I$8&gt;611),(VIONARO!$Q$19&gt;=600)),600,"")</f>
        <v/>
      </c>
      <c r="Z41" s="25" t="str">
        <f>IF(AND((VIONARO!$I$8&gt;661),(VIONARO!$Q$19&gt;=650)),650,"")</f>
        <v/>
      </c>
      <c r="AB41" s="36" t="s">
        <v>417</v>
      </c>
      <c r="AC41" s="38"/>
      <c r="AD41" s="6" t="str">
        <f>AD38</f>
        <v/>
      </c>
      <c r="AE41" s="21"/>
      <c r="AF41" s="6" t="str">
        <f>VIONARO!$I$9</f>
        <v>Graphit</v>
      </c>
      <c r="AG41" s="5" t="str">
        <f t="shared" si="0"/>
        <v>InnenblendeGraphit</v>
      </c>
      <c r="AH41" s="5" t="str">
        <f>IF(VIONARO!S19="","0",VLOOKUP(AG41,Artikeldaten!F:H,3,FALSE))</f>
        <v>0</v>
      </c>
      <c r="AI41" s="5" t="str">
        <f>IF(AH41="0","0",VLOOKUP($AH41,Artikeldaten!$H:$K,3,FALSE))</f>
        <v>0</v>
      </c>
      <c r="AJ41" s="5" t="str">
        <f>IF(AH41="0","0",VLOOKUP($AH41,Artikeldaten!$H:$K,4,FALSE))</f>
        <v>0</v>
      </c>
      <c r="AK41" s="35" t="str">
        <f>IF(VIONARO!S19="","0",1)</f>
        <v>0</v>
      </c>
      <c r="AL41" s="4"/>
      <c r="AM41" s="5" t="str">
        <f>IF(OR(AL38=270,AL38=300,AL38=350,AL38=400,AL38=450,AL38=500,AL38=550),"TIPMATIC 40KG","")</f>
        <v/>
      </c>
      <c r="AN41" s="5"/>
      <c r="AO41" s="35" t="str">
        <f>IF(OR(AN38=270,AN38=300,AN38=350,AN38=400,AN38=450,AN38=500,AN38=550),"TIPMATIC 40KG","")</f>
        <v/>
      </c>
      <c r="AP41" s="4" t="str">
        <f>CONCATENATE($AP$9," 4B")</f>
        <v>Plecy 4B</v>
      </c>
      <c r="AQ41" s="5">
        <f>IF($AN$38="",0,IF($AP$11="","",(VLOOKUP(VIONARO!S19,Formeln!$A$2:$H$6,8,FALSE))))</f>
        <v>0</v>
      </c>
      <c r="AR41" s="5">
        <f>IF($AN$38=0,"",IF($AQ$11="","",$AQ$11-42))</f>
        <v>522</v>
      </c>
      <c r="AS41" s="5">
        <f>IF($AN$38=0,"",16)</f>
        <v>16</v>
      </c>
      <c r="AT41" s="35">
        <f>IF($AN$38=0,"",1)</f>
        <v>1</v>
      </c>
      <c r="BC41" t="str">
        <f>CONCATENATE(HLOOKUP(VIONARO!I4,Sprachen!A2:K56,55,FALSE)," D")</f>
        <v>Front D</v>
      </c>
      <c r="BI41" s="171"/>
      <c r="BJ41" s="171"/>
      <c r="BK41" s="171"/>
    </row>
    <row r="42" spans="1:63" ht="15.75" thickBot="1" x14ac:dyDescent="0.3">
      <c r="A42" s="4"/>
      <c r="B42" s="5" t="str">
        <f>IF(AND(($A$38&gt;$D$6),($A$38&lt;$E$6),(VIONARO!$I$8&gt;Formeln!G6)),$A$6,"")</f>
        <v/>
      </c>
      <c r="C42" s="16" t="str">
        <f>IF(B42="","",VLOOKUP(B42,$A$2:$E$6,4,FALSE))</f>
        <v/>
      </c>
      <c r="D42" s="16" t="str">
        <f>IF(C42="","",$A$38-C42)</f>
        <v/>
      </c>
      <c r="E42" s="6" t="str">
        <f>IF(D42="","",IF(D42&gt;122,"x","0"))</f>
        <v/>
      </c>
      <c r="F42" s="5" t="str">
        <f t="shared" si="4"/>
        <v/>
      </c>
      <c r="G42" s="7" t="str">
        <f>IF(D42="","",IF(D42&gt;218,"x","0"))</f>
        <v/>
      </c>
      <c r="H42" s="20" t="s">
        <v>63</v>
      </c>
      <c r="I42" s="21" t="s">
        <v>63</v>
      </c>
      <c r="J42" s="21" t="s">
        <v>63</v>
      </c>
      <c r="K42" s="21" t="s">
        <v>63</v>
      </c>
      <c r="L42" s="23">
        <f>IF(VIONARO!$I$8&gt;452,450,"")</f>
        <v>450</v>
      </c>
      <c r="M42" s="23">
        <f>IF(VIONARO!$I$8&gt;502,500,"")</f>
        <v>500</v>
      </c>
      <c r="N42" s="23" t="str">
        <f>IF(VIONARO!$I$8&gt;552,550,"")</f>
        <v/>
      </c>
      <c r="O42" s="23" t="str">
        <f>IF(VIONARO!$I$8&gt;602,600,"")</f>
        <v/>
      </c>
      <c r="P42" s="21" t="s">
        <v>63</v>
      </c>
      <c r="Q42" s="16"/>
      <c r="R42" s="21" t="s">
        <v>63</v>
      </c>
      <c r="S42" s="21"/>
      <c r="T42" s="21"/>
      <c r="U42" s="21"/>
      <c r="V42" s="21"/>
      <c r="W42" s="21"/>
      <c r="X42" s="21"/>
      <c r="Y42" s="21"/>
      <c r="Z42" s="22"/>
      <c r="AB42" s="34" t="s">
        <v>426</v>
      </c>
      <c r="AC42" s="6" t="str">
        <f>'Auswahl Führung'!P19</f>
        <v/>
      </c>
      <c r="AD42" s="38"/>
      <c r="AE42" s="5" t="str">
        <f>AE37</f>
        <v/>
      </c>
      <c r="AF42" s="21"/>
      <c r="AG42" s="5" t="str">
        <f t="shared" si="0"/>
        <v>Führung</v>
      </c>
      <c r="AH42" s="5" t="str">
        <f>IF(VIONARO!O19="","0",VLOOKUP(AG42,Artikeldaten!F:H,3,FALSE))</f>
        <v>0</v>
      </c>
      <c r="AI42" s="5" t="str">
        <f>IF(AH42="0","0",VLOOKUP($AH42,Artikeldaten!$H:$K,3,FALSE))</f>
        <v>0</v>
      </c>
      <c r="AJ42" s="5" t="str">
        <f>IF(AH42="0","0",VLOOKUP($AH42,Artikeldaten!$H:$K,4,FALSE))</f>
        <v>0</v>
      </c>
      <c r="AK42" s="35" t="str">
        <f>IF(VIONARO!O19="","0",1)</f>
        <v>0</v>
      </c>
      <c r="AL42" s="8"/>
      <c r="AM42" s="9" t="str">
        <f>IF(AND(OR(AL38=450,AL38=500,AL38=550,AL38=600,AL38=650),BC42&lt;&gt;"VIONARO H63"),IF(AND(BC42&lt;&gt;"VIONARO H185",BC42&lt;&gt;"VIONARO H249"),IF(AL36&lt;261,"TIPMATIC 60KG",""),"TIPMATIC 60KG"),"")</f>
        <v/>
      </c>
      <c r="AN42" s="9"/>
      <c r="AO42" s="15" t="str">
        <f>IF(OR(AN38=450,AN38=500,AN38=550,AN38=600,AN38=650),"TIPMATIC 60KG","")</f>
        <v/>
      </c>
      <c r="AP42" s="8"/>
      <c r="AQ42" s="9"/>
      <c r="AR42" s="9"/>
      <c r="AS42" s="9"/>
      <c r="AT42" s="9"/>
      <c r="AU42" s="1" t="str">
        <f>AC42</f>
        <v/>
      </c>
      <c r="AV42" s="2" t="str">
        <f>AE42</f>
        <v/>
      </c>
      <c r="AW42" s="2" t="str">
        <f>CONCATENATE(AU42,AV42)</f>
        <v/>
      </c>
      <c r="AX42" s="2" t="str">
        <f>IF(AU42="","--",VLOOKUP($AW42,$C$59:$H$84,2,FALSE))</f>
        <v>--</v>
      </c>
      <c r="AY42" s="2" t="str">
        <f>IF(AU42="","--",VLOOKUP($AW42,$C$59:$H$84,3,FALSE))</f>
        <v>--</v>
      </c>
      <c r="AZ42" s="2" t="str">
        <f>IF(AU42="","--",VLOOKUP($AW42,$C$59:$H$84,4,FALSE))</f>
        <v>--</v>
      </c>
      <c r="BA42" s="2" t="str">
        <f>IF(AU42="","--",VLOOKUP($AW42,$C$59:$H$84,5,FALSE))</f>
        <v>--</v>
      </c>
      <c r="BB42" s="3" t="str">
        <f>IF(AU42="","--",VLOOKUP($AW42,$C$59:$H$84,6,FALSE))</f>
        <v>--</v>
      </c>
      <c r="BC42" s="161" t="str">
        <f>AD37</f>
        <v/>
      </c>
      <c r="BD42" s="162" t="str">
        <f>IF(BC42="","-",VLOOKUP($BC$42,$A$87:$D$91,2,FALSE))</f>
        <v>-</v>
      </c>
      <c r="BE42" s="162" t="str">
        <f>IF(BC42="","-",VLOOKUP($BC$42,$A$87:$D$91,3,FALSE))</f>
        <v>-</v>
      </c>
      <c r="BF42" s="163" t="str">
        <f>IF(BC42="","-",VLOOKUP($BC$42,$A$87:$D$91,4,FALSE))</f>
        <v>-</v>
      </c>
      <c r="BI42" s="168" t="str">
        <f>IF(BC42="","-",VIONARO!$I$7-(Formeln!$BG$18+Formeln!$BH$18))</f>
        <v>-</v>
      </c>
      <c r="BJ42" s="169" t="str">
        <f>IF(BC42="","-",VIONARO!M19)</f>
        <v>-</v>
      </c>
      <c r="BK42" s="171"/>
    </row>
    <row r="43" spans="1:63" ht="15.75" thickBot="1" x14ac:dyDescent="0.3">
      <c r="A43" s="8"/>
      <c r="B43" s="9"/>
      <c r="C43" s="9"/>
      <c r="D43" s="9"/>
      <c r="E43" s="10" t="str">
        <f>IF(IF(VIONARO!O19="","",VLOOKUP(VIONARO!O19,Formeln!B38:G42,4,FALSE))="x","VIONARO H89","")</f>
        <v/>
      </c>
      <c r="F43" s="9" t="str">
        <f>IF(IF(VIONARO!O19="","",VLOOKUP(VIONARO!O19,Formeln!B38:G42,5,FALSE))="x","VIONARO H121","")</f>
        <v/>
      </c>
      <c r="G43" s="11" t="str">
        <f>IF(IF(VIONARO!O19="","",VLOOKUP(VIONARO!O19,Formeln!B38:G42,6,FALSE))="x","VIONARO H185","")</f>
        <v/>
      </c>
      <c r="H43" s="8" t="str">
        <f>IF(VIONARO!O19="","",VLOOKUP(VIONARO!$O$19,Formeln!$B$38:$P$42,7,FALSE))</f>
        <v/>
      </c>
      <c r="I43" s="9" t="str">
        <f>IF(VIONARO!O19="","",VLOOKUP(VIONARO!$O$19,Formeln!$B$38:$P$42,8,FALSE))</f>
        <v/>
      </c>
      <c r="J43" s="9" t="str">
        <f>IF(VIONARO!O19="","",VLOOKUP(VIONARO!$O$19,Formeln!$B$38:$P$42,9,FALSE))</f>
        <v/>
      </c>
      <c r="K43" s="9" t="str">
        <f>IF(VIONARO!O19="","",VLOOKUP(VIONARO!$O$19,Formeln!$B$38:$P$42,10,FALSE))</f>
        <v/>
      </c>
      <c r="L43" s="9" t="str">
        <f>IF(VIONARO!O19="","",VLOOKUP(VIONARO!$O$19,Formeln!$B$38:$P$42,11,FALSE))</f>
        <v/>
      </c>
      <c r="M43" s="9" t="str">
        <f>IF(VIONARO!O19="","",VLOOKUP(VIONARO!$O$19,Formeln!$B$38:$P$42,12,FALSE))</f>
        <v/>
      </c>
      <c r="N43" s="9" t="str">
        <f>IF(VIONARO!O19="","",VLOOKUP(VIONARO!$O$19,Formeln!$B$38:$P$42,13,FALSE))</f>
        <v/>
      </c>
      <c r="O43" s="9" t="str">
        <f>IF(VIONARO!O19="","",VLOOKUP(VIONARO!$O$19,Formeln!$B$38:$P$42,14,FALSE))</f>
        <v/>
      </c>
      <c r="P43" s="9" t="str">
        <f>IF(VIONARO!O19="","",VLOOKUP(VIONARO!$O$19,Formeln!$B$38:$P$42,15,FALSE))</f>
        <v/>
      </c>
      <c r="Q43" s="17"/>
      <c r="R43" s="9" t="str">
        <f>IF(VIONARO!S19="","",VLOOKUP(VIONARO!$S$19,$Q$38:$Z$42,2,FALSE))</f>
        <v/>
      </c>
      <c r="S43" s="9" t="str">
        <f>IF(VIONARO!S19="","",VLOOKUP(VIONARO!$S$19,$Q$38:$Z$42,3,FALSE))</f>
        <v/>
      </c>
      <c r="T43" s="9" t="str">
        <f>IF(VIONARO!S19="","",VLOOKUP(VIONARO!$S$19,$Q$38:$Z$42,4,FALSE))</f>
        <v/>
      </c>
      <c r="U43" s="9" t="str">
        <f>IF(VIONARO!S19="","",VLOOKUP(VIONARO!$S$19,$Q$38:$Z$42,5,FALSE))</f>
        <v/>
      </c>
      <c r="V43" s="9" t="str">
        <f>IF(VIONARO!S19="","",VLOOKUP(VIONARO!$S$19,$Q$38:$Z$42,6,FALSE))</f>
        <v/>
      </c>
      <c r="W43" s="9" t="str">
        <f>IF(VIONARO!S19="","",VLOOKUP(VIONARO!$S$19,$Q$38:$Z$42,7,FALSE))</f>
        <v/>
      </c>
      <c r="X43" s="9" t="str">
        <f>IF(VIONARO!S19="","",VLOOKUP(VIONARO!$S$19,$Q$38:$Z$42,8,FALSE))</f>
        <v/>
      </c>
      <c r="Y43" s="9" t="str">
        <f>IF(VIONARO!S19="","",VLOOKUP(VIONARO!$S$19,$Q$38:$Z$42,9,FALSE))</f>
        <v/>
      </c>
      <c r="Z43" s="15" t="str">
        <f>IF(VIONARO!S19="","",VLOOKUP(VIONARO!$S$19,$Q$38:$Z$42,10,FALSE))</f>
        <v/>
      </c>
      <c r="AB43" s="37" t="s">
        <v>426</v>
      </c>
      <c r="AC43" s="10" t="str">
        <f>'Auswahl Führung'!R19</f>
        <v/>
      </c>
      <c r="AD43" s="40"/>
      <c r="AE43" s="9" t="str">
        <f>AE38</f>
        <v/>
      </c>
      <c r="AF43" s="41"/>
      <c r="AG43" s="9" t="str">
        <f t="shared" si="0"/>
        <v>Führung</v>
      </c>
      <c r="AH43" s="9" t="str">
        <f>IF(VIONARO!S19="","0",VLOOKUP(AG43,Artikeldaten!F:H,3,FALSE))</f>
        <v>0</v>
      </c>
      <c r="AI43" s="9" t="str">
        <f>IF(AH43="0","0",VLOOKUP($AH43,Artikeldaten!$H:$K,3,FALSE))</f>
        <v>0</v>
      </c>
      <c r="AJ43" s="9" t="str">
        <f>IF(AH43="0","0",VLOOKUP($AH43,Artikeldaten!$H:$K,4,FALSE))</f>
        <v>0</v>
      </c>
      <c r="AK43" s="15" t="str">
        <f>IF(VIONARO!S19="","0",1)</f>
        <v>0</v>
      </c>
      <c r="AU43" s="8" t="str">
        <f>AC43</f>
        <v/>
      </c>
      <c r="AV43" s="9" t="str">
        <f>AE43</f>
        <v/>
      </c>
      <c r="AW43" s="9" t="str">
        <f>CONCATENATE(AU43,AV43)</f>
        <v/>
      </c>
      <c r="AX43" s="9" t="str">
        <f>IF(AU43="","--",VLOOKUP($AW43,$C$59:$H$84,2,FALSE))</f>
        <v>--</v>
      </c>
      <c r="AY43" s="9" t="str">
        <f>IF(AU43="","--",VLOOKUP($AW43,$C$59:$H$84,3,FALSE))</f>
        <v>--</v>
      </c>
      <c r="AZ43" s="9" t="str">
        <f>IF(AU43="","--",VLOOKUP($AW43,$C$59:$H$84,4,FALSE))</f>
        <v>--</v>
      </c>
      <c r="BA43" s="9" t="str">
        <f>IF(AU43="","--",VLOOKUP($AW43,$C$59:$H$84,5,FALSE))</f>
        <v>--</v>
      </c>
      <c r="BB43" s="15" t="str">
        <f>IF(AU43="","--",VLOOKUP($AW43,$C$59:$H$84,6,FALSE))</f>
        <v>--</v>
      </c>
      <c r="BC43" t="str">
        <f>IF(BC42="","-",IF(AC39="Spreizdübel Ø 8 mm",(CONCATENATE("Ø ",8," mm")),(CONCATENATE("Ø ",3," mm"))))</f>
        <v>-</v>
      </c>
      <c r="BD43" s="164" t="str">
        <f>IF(BC42="","-",64.5)</f>
        <v>-</v>
      </c>
      <c r="BE43" s="164" t="str">
        <f>BE42</f>
        <v>-</v>
      </c>
      <c r="BF43" s="164" t="str">
        <f>BF42</f>
        <v>-</v>
      </c>
      <c r="BG43" s="166" t="str">
        <f>IF(BC42="","-",14.5+(VIONARO!$I$6-$BG$18))</f>
        <v>-</v>
      </c>
      <c r="BH43" s="167" t="str">
        <f>IF(BC42="","-",14.5+(VIONARO!$I$6-Formeln!$BH$18))</f>
        <v>-</v>
      </c>
      <c r="BI43" s="170"/>
      <c r="BJ43" s="171"/>
      <c r="BK43" s="171"/>
    </row>
    <row r="44" spans="1:63" ht="15.75" thickBot="1" x14ac:dyDescent="0.3">
      <c r="K44" s="1"/>
      <c r="L44" s="3"/>
      <c r="N44" s="1"/>
      <c r="O44" s="3"/>
      <c r="Q44" s="1"/>
      <c r="R44" s="3"/>
      <c r="AX44" t="str">
        <f>IF(OR(AX43="--",AY43="--",AZ43="--",BA43="--",BB43="--",AX42="--",AY42="--",AZ42="--",BA42="--",BB42="--",AX36="-- = Keine Bohrung benötigt"),$A$45,"")</f>
        <v>-- = Wiercenie niewymagane</v>
      </c>
      <c r="BC44" t="str">
        <f>IF(OR(BC42="VIONARO H185",BC42="VIONARO H249"),"Ø 8 mm","--")</f>
        <v>--</v>
      </c>
      <c r="BD44" t="str">
        <f>IF(OR(BD43="--",BE43="--",BF43="--",BD35="--",BE35="--",BF35="--",BD36="-- = Keine Bohrung benötigt"),$A$45,"")</f>
        <v/>
      </c>
      <c r="BI44" s="171"/>
      <c r="BJ44" s="171"/>
      <c r="BK44" s="171"/>
    </row>
    <row r="45" spans="1:63" x14ac:dyDescent="0.25">
      <c r="A45" t="str">
        <f>CONCATENATE("-- = ",HLOOKUP(VIONARO!I4,Sprachen!A2:K57,56,FALSE))</f>
        <v>-- = Wiercenie niewymagane</v>
      </c>
      <c r="G45" t="str">
        <f>E43</f>
        <v/>
      </c>
      <c r="H45" s="116" t="str">
        <f>H43</f>
        <v/>
      </c>
      <c r="I45" s="116" t="str">
        <f>R43</f>
        <v/>
      </c>
      <c r="J45" t="str">
        <f>E19</f>
        <v>VIONARO H89</v>
      </c>
      <c r="K45" s="4">
        <f>H19</f>
        <v>270</v>
      </c>
      <c r="L45" s="35">
        <f>R19</f>
        <v>270</v>
      </c>
      <c r="M45" t="str">
        <f>E27</f>
        <v/>
      </c>
      <c r="N45" s="4">
        <f>H27</f>
        <v>270</v>
      </c>
      <c r="O45" s="35" t="str">
        <f>R27</f>
        <v/>
      </c>
      <c r="P45" t="str">
        <f>E35</f>
        <v/>
      </c>
      <c r="Q45" s="4" t="str">
        <f>H35</f>
        <v/>
      </c>
      <c r="R45" s="35" t="str">
        <f>R35</f>
        <v/>
      </c>
    </row>
    <row r="46" spans="1:63" x14ac:dyDescent="0.25">
      <c r="G46" t="str">
        <f>F43</f>
        <v/>
      </c>
      <c r="H46" s="117" t="str">
        <f>I43</f>
        <v/>
      </c>
      <c r="I46" s="117" t="str">
        <f>S43</f>
        <v/>
      </c>
      <c r="J46" t="str">
        <f>F19</f>
        <v>VIONARO H121</v>
      </c>
      <c r="K46" s="4">
        <f>I19</f>
        <v>300</v>
      </c>
      <c r="L46" s="35">
        <f>S19</f>
        <v>300</v>
      </c>
      <c r="M46" t="str">
        <f>F27</f>
        <v/>
      </c>
      <c r="N46" s="4">
        <f>I27</f>
        <v>300</v>
      </c>
      <c r="O46" s="35" t="str">
        <f>S27</f>
        <v/>
      </c>
      <c r="P46" t="str">
        <f>F35</f>
        <v/>
      </c>
      <c r="Q46" s="4" t="str">
        <f>I35</f>
        <v/>
      </c>
      <c r="R46" s="35" t="str">
        <f>S35</f>
        <v/>
      </c>
      <c r="AC46" t="str">
        <f>Sprachen!A19</f>
        <v>Spreizdübel Ø 8 mm</v>
      </c>
      <c r="AD46" t="s">
        <v>423</v>
      </c>
    </row>
    <row r="47" spans="1:63" x14ac:dyDescent="0.25">
      <c r="G47" t="str">
        <f>G43</f>
        <v/>
      </c>
      <c r="H47" s="117" t="str">
        <f>J43</f>
        <v/>
      </c>
      <c r="I47" s="117" t="str">
        <f>T43</f>
        <v/>
      </c>
      <c r="J47" t="str">
        <f>G19</f>
        <v>VIONARO H185</v>
      </c>
      <c r="K47" s="4">
        <f>J19</f>
        <v>350</v>
      </c>
      <c r="L47" s="35">
        <f>T19</f>
        <v>350</v>
      </c>
      <c r="M47" t="str">
        <f>G27</f>
        <v/>
      </c>
      <c r="N47" s="4">
        <f>J27</f>
        <v>350</v>
      </c>
      <c r="O47" s="35" t="str">
        <f>T27</f>
        <v/>
      </c>
      <c r="P47" t="str">
        <f>G35</f>
        <v/>
      </c>
      <c r="Q47" s="4" t="str">
        <f>J35</f>
        <v/>
      </c>
      <c r="R47" s="35" t="str">
        <f>T35</f>
        <v/>
      </c>
      <c r="AC47" s="53" t="str">
        <f>Sprachen!B19</f>
        <v>Expanding dowel Ø 8 mm</v>
      </c>
      <c r="AD47" t="s">
        <v>423</v>
      </c>
    </row>
    <row r="48" spans="1:63" x14ac:dyDescent="0.25">
      <c r="H48" s="117" t="str">
        <f>K43</f>
        <v/>
      </c>
      <c r="I48" s="117" t="str">
        <f>U43</f>
        <v/>
      </c>
      <c r="K48" s="4">
        <f>K19</f>
        <v>400</v>
      </c>
      <c r="L48" s="35">
        <f>U19</f>
        <v>400</v>
      </c>
      <c r="N48" s="4">
        <f>K27</f>
        <v>400</v>
      </c>
      <c r="O48" s="35" t="str">
        <f>U27</f>
        <v/>
      </c>
      <c r="Q48" s="4" t="str">
        <f>K35</f>
        <v/>
      </c>
      <c r="R48" s="35" t="str">
        <f>U35</f>
        <v/>
      </c>
      <c r="AC48" s="53" t="str">
        <f>Sprachen!C19</f>
        <v>Bussola ad espansione Ø 8 mm</v>
      </c>
      <c r="AD48" t="s">
        <v>423</v>
      </c>
    </row>
    <row r="49" spans="1:30" x14ac:dyDescent="0.25">
      <c r="H49" s="117" t="str">
        <f>L43</f>
        <v/>
      </c>
      <c r="I49" s="117" t="str">
        <f>V43</f>
        <v/>
      </c>
      <c r="K49" s="4">
        <f>L19</f>
        <v>450</v>
      </c>
      <c r="L49" s="35">
        <f>V19</f>
        <v>450</v>
      </c>
      <c r="N49" s="4">
        <f>L27</f>
        <v>450</v>
      </c>
      <c r="O49" s="35" t="str">
        <f>V27</f>
        <v/>
      </c>
      <c r="Q49" s="4" t="str">
        <f>L35</f>
        <v/>
      </c>
      <c r="R49" s="35" t="str">
        <f>V35</f>
        <v/>
      </c>
      <c r="AC49" t="str">
        <f>Sprachen!D19</f>
        <v>Chev. à expension Ø 8 mm</v>
      </c>
      <c r="AD49" t="s">
        <v>423</v>
      </c>
    </row>
    <row r="50" spans="1:30" x14ac:dyDescent="0.25">
      <c r="H50" s="117" t="str">
        <f>M43</f>
        <v/>
      </c>
      <c r="I50" s="117" t="str">
        <f>W43</f>
        <v/>
      </c>
      <c r="K50" s="4">
        <f>M19</f>
        <v>500</v>
      </c>
      <c r="L50" s="35" t="str">
        <f>W19</f>
        <v/>
      </c>
      <c r="N50" s="4">
        <f>M27</f>
        <v>500</v>
      </c>
      <c r="O50" s="35" t="str">
        <f>W27</f>
        <v/>
      </c>
      <c r="Q50" s="4" t="str">
        <f>M35</f>
        <v/>
      </c>
      <c r="R50" s="35" t="str">
        <f>W35</f>
        <v/>
      </c>
      <c r="AC50" t="str">
        <f>Sprachen!E19</f>
        <v>Taco expandible de 8 mm</v>
      </c>
      <c r="AD50" t="s">
        <v>423</v>
      </c>
    </row>
    <row r="51" spans="1:30" x14ac:dyDescent="0.25">
      <c r="H51" s="117" t="str">
        <f>N43</f>
        <v/>
      </c>
      <c r="I51" s="117" t="str">
        <f>X43</f>
        <v/>
      </c>
      <c r="K51" s="4" t="str">
        <f>N19</f>
        <v/>
      </c>
      <c r="L51" s="35" t="str">
        <f>X19</f>
        <v/>
      </c>
      <c r="N51" s="4" t="str">
        <f>N27</f>
        <v/>
      </c>
      <c r="O51" s="35" t="str">
        <f>X27</f>
        <v/>
      </c>
      <c r="Q51" s="4" t="str">
        <f>N35</f>
        <v/>
      </c>
      <c r="R51" s="35" t="str">
        <f>X35</f>
        <v/>
      </c>
      <c r="AC51" s="13" t="str">
        <f>Sprachen!F19</f>
        <v>Expanderande plugg Ø 8 mm</v>
      </c>
      <c r="AD51" t="s">
        <v>423</v>
      </c>
    </row>
    <row r="52" spans="1:30" x14ac:dyDescent="0.25">
      <c r="H52" s="117" t="str">
        <f>O43</f>
        <v/>
      </c>
      <c r="I52" s="117" t="str">
        <f>Y43</f>
        <v/>
      </c>
      <c r="K52" s="4" t="str">
        <f>O19</f>
        <v/>
      </c>
      <c r="L52" s="35" t="str">
        <f>Y19</f>
        <v/>
      </c>
      <c r="N52" s="4" t="str">
        <f>O27</f>
        <v/>
      </c>
      <c r="O52" s="35" t="str">
        <f>Y27</f>
        <v/>
      </c>
      <c r="Q52" s="4" t="str">
        <f>O35</f>
        <v/>
      </c>
      <c r="R52" s="35" t="str">
        <f>Y35</f>
        <v/>
      </c>
      <c r="AC52">
        <f>Sprachen!G19</f>
        <v>0</v>
      </c>
      <c r="AD52" t="s">
        <v>423</v>
      </c>
    </row>
    <row r="53" spans="1:30" ht="15.75" thickBot="1" x14ac:dyDescent="0.3">
      <c r="H53" s="118" t="str">
        <f>P43</f>
        <v/>
      </c>
      <c r="I53" s="118" t="str">
        <f>Z43</f>
        <v/>
      </c>
      <c r="K53" s="8" t="str">
        <f>P19</f>
        <v/>
      </c>
      <c r="L53" s="15" t="str">
        <f>Z19</f>
        <v/>
      </c>
      <c r="N53" s="8" t="str">
        <f>P27</f>
        <v/>
      </c>
      <c r="O53" s="15" t="str">
        <f>Z27</f>
        <v/>
      </c>
      <c r="Q53" s="8" t="str">
        <f>P35</f>
        <v/>
      </c>
      <c r="R53" s="15" t="str">
        <f>Z35</f>
        <v/>
      </c>
      <c r="AC53" t="str">
        <f>Sprachen!H19</f>
        <v>Açılır Dübel Ø 8 mm</v>
      </c>
      <c r="AD53" t="s">
        <v>423</v>
      </c>
    </row>
    <row r="54" spans="1:30" x14ac:dyDescent="0.25">
      <c r="AC54" t="str">
        <f>Sprachen!K19</f>
        <v>Hmoždinka Ø 8 mm</v>
      </c>
      <c r="AD54" t="s">
        <v>423</v>
      </c>
    </row>
    <row r="55" spans="1:30" x14ac:dyDescent="0.25">
      <c r="AC55" t="s">
        <v>421</v>
      </c>
      <c r="AD55" t="s">
        <v>421</v>
      </c>
    </row>
    <row r="56" spans="1:30" x14ac:dyDescent="0.25">
      <c r="AC56" s="53" t="s">
        <v>602</v>
      </c>
      <c r="AD56" t="s">
        <v>421</v>
      </c>
    </row>
    <row r="57" spans="1:30" x14ac:dyDescent="0.25">
      <c r="AC57" s="12" t="s">
        <v>677</v>
      </c>
      <c r="AD57" t="s">
        <v>421</v>
      </c>
    </row>
    <row r="58" spans="1:30" x14ac:dyDescent="0.25">
      <c r="A58" t="s">
        <v>940</v>
      </c>
      <c r="AC58" t="s">
        <v>581</v>
      </c>
      <c r="AD58" t="s">
        <v>421</v>
      </c>
    </row>
    <row r="59" spans="1:30" x14ac:dyDescent="0.25">
      <c r="A59" s="159" t="s">
        <v>503</v>
      </c>
      <c r="B59" s="159">
        <v>270</v>
      </c>
      <c r="C59" t="str">
        <f>CONCATENATE(A59,B59)</f>
        <v>SOFT-CLOSE 40KG270</v>
      </c>
      <c r="D59" s="159">
        <v>37</v>
      </c>
      <c r="E59" s="159">
        <v>32</v>
      </c>
      <c r="F59" s="159">
        <v>128</v>
      </c>
      <c r="G59" s="159">
        <v>160</v>
      </c>
      <c r="H59" s="209" t="s">
        <v>956</v>
      </c>
      <c r="AC59" t="s">
        <v>625</v>
      </c>
      <c r="AD59" t="s">
        <v>421</v>
      </c>
    </row>
    <row r="60" spans="1:30" x14ac:dyDescent="0.25">
      <c r="A60" s="159" t="s">
        <v>503</v>
      </c>
      <c r="B60" s="159">
        <v>300</v>
      </c>
      <c r="C60" t="str">
        <f t="shared" ref="C60:C84" si="5">CONCATENATE(A60,B60)</f>
        <v>SOFT-CLOSE 40KG300</v>
      </c>
      <c r="D60" s="159">
        <v>37</v>
      </c>
      <c r="E60" s="159">
        <v>32</v>
      </c>
      <c r="F60" s="159">
        <v>128</v>
      </c>
      <c r="G60" s="159">
        <v>160</v>
      </c>
      <c r="H60" s="209" t="s">
        <v>956</v>
      </c>
      <c r="AC60" t="s">
        <v>646</v>
      </c>
      <c r="AD60" t="s">
        <v>421</v>
      </c>
    </row>
    <row r="61" spans="1:30" x14ac:dyDescent="0.25">
      <c r="A61" s="159" t="s">
        <v>503</v>
      </c>
      <c r="B61" s="159">
        <v>350</v>
      </c>
      <c r="C61" t="str">
        <f t="shared" si="5"/>
        <v>SOFT-CLOSE 40KG350</v>
      </c>
      <c r="D61" s="159">
        <v>37</v>
      </c>
      <c r="E61" s="159">
        <v>32</v>
      </c>
      <c r="F61" s="159">
        <v>192</v>
      </c>
      <c r="G61" s="159">
        <v>224</v>
      </c>
      <c r="H61" s="209" t="s">
        <v>956</v>
      </c>
      <c r="AC61" t="s">
        <v>761</v>
      </c>
      <c r="AD61" t="s">
        <v>421</v>
      </c>
    </row>
    <row r="62" spans="1:30" x14ac:dyDescent="0.25">
      <c r="A62" s="159" t="s">
        <v>503</v>
      </c>
      <c r="B62" s="159">
        <v>400</v>
      </c>
      <c r="C62" t="str">
        <f t="shared" si="5"/>
        <v>SOFT-CLOSE 40KG400</v>
      </c>
      <c r="D62" s="159">
        <v>37</v>
      </c>
      <c r="E62" s="159">
        <v>32</v>
      </c>
      <c r="F62" s="159">
        <v>192</v>
      </c>
      <c r="G62" s="159">
        <v>224</v>
      </c>
      <c r="H62" s="209" t="s">
        <v>956</v>
      </c>
      <c r="AC62" t="s">
        <v>704</v>
      </c>
      <c r="AD62" t="s">
        <v>421</v>
      </c>
    </row>
    <row r="63" spans="1:30" x14ac:dyDescent="0.25">
      <c r="A63" s="159" t="s">
        <v>503</v>
      </c>
      <c r="B63" s="159">
        <v>450</v>
      </c>
      <c r="C63" t="str">
        <f t="shared" si="5"/>
        <v>SOFT-CLOSE 40KG450</v>
      </c>
      <c r="D63" s="159">
        <v>37</v>
      </c>
      <c r="E63" s="159">
        <v>32</v>
      </c>
      <c r="F63" s="159">
        <v>192</v>
      </c>
      <c r="G63" s="159">
        <v>224</v>
      </c>
      <c r="H63" s="209" t="s">
        <v>956</v>
      </c>
      <c r="AC63" t="s">
        <v>738</v>
      </c>
      <c r="AD63" t="s">
        <v>421</v>
      </c>
    </row>
    <row r="64" spans="1:30" x14ac:dyDescent="0.25">
      <c r="A64" s="159" t="s">
        <v>503</v>
      </c>
      <c r="B64" s="159">
        <v>500</v>
      </c>
      <c r="C64" t="str">
        <f t="shared" si="5"/>
        <v>SOFT-CLOSE 40KG500</v>
      </c>
      <c r="D64" s="159">
        <v>37</v>
      </c>
      <c r="E64" s="159">
        <v>32</v>
      </c>
      <c r="F64" s="159">
        <v>256</v>
      </c>
      <c r="G64" s="159">
        <v>288</v>
      </c>
      <c r="H64" s="209" t="s">
        <v>956</v>
      </c>
    </row>
    <row r="65" spans="1:8" x14ac:dyDescent="0.25">
      <c r="A65" s="159" t="s">
        <v>503</v>
      </c>
      <c r="B65" s="159">
        <v>550</v>
      </c>
      <c r="C65" t="str">
        <f t="shared" si="5"/>
        <v>SOFT-CLOSE 40KG550</v>
      </c>
      <c r="D65" s="159">
        <v>37</v>
      </c>
      <c r="E65" s="159">
        <v>32</v>
      </c>
      <c r="F65" s="159">
        <v>224</v>
      </c>
      <c r="G65" s="159">
        <v>288</v>
      </c>
      <c r="H65" s="159">
        <v>352</v>
      </c>
    </row>
    <row r="66" spans="1:8" x14ac:dyDescent="0.25">
      <c r="A66" s="159" t="s">
        <v>503</v>
      </c>
      <c r="B66" s="159">
        <v>600</v>
      </c>
      <c r="C66" t="str">
        <f t="shared" si="5"/>
        <v>SOFT-CLOSE 40KG600</v>
      </c>
      <c r="D66" s="159">
        <v>37</v>
      </c>
      <c r="E66" s="159">
        <v>32</v>
      </c>
      <c r="F66" s="159">
        <v>224</v>
      </c>
      <c r="G66" s="159">
        <v>352</v>
      </c>
      <c r="H66" s="159">
        <v>384</v>
      </c>
    </row>
    <row r="67" spans="1:8" x14ac:dyDescent="0.25">
      <c r="A67" s="159" t="s">
        <v>504</v>
      </c>
      <c r="B67" s="159">
        <v>450</v>
      </c>
      <c r="C67" t="str">
        <f t="shared" si="5"/>
        <v>SOFT-CLOSE 70KG450</v>
      </c>
      <c r="D67" s="159">
        <v>37</v>
      </c>
      <c r="E67" s="159">
        <v>32</v>
      </c>
      <c r="F67" s="159">
        <v>224</v>
      </c>
      <c r="G67" s="159">
        <v>256</v>
      </c>
      <c r="H67" s="159">
        <v>288</v>
      </c>
    </row>
    <row r="68" spans="1:8" x14ac:dyDescent="0.25">
      <c r="A68" s="159" t="s">
        <v>504</v>
      </c>
      <c r="B68" s="159">
        <v>500</v>
      </c>
      <c r="C68" t="str">
        <f t="shared" si="5"/>
        <v>SOFT-CLOSE 70KG500</v>
      </c>
      <c r="D68" s="159">
        <v>37</v>
      </c>
      <c r="E68" s="159">
        <v>32</v>
      </c>
      <c r="F68" s="159">
        <v>224</v>
      </c>
      <c r="G68" s="159">
        <v>288</v>
      </c>
      <c r="H68" s="159">
        <v>352</v>
      </c>
    </row>
    <row r="69" spans="1:8" x14ac:dyDescent="0.25">
      <c r="A69" s="159" t="s">
        <v>504</v>
      </c>
      <c r="B69" s="159">
        <v>550</v>
      </c>
      <c r="C69" t="str">
        <f t="shared" si="5"/>
        <v>SOFT-CLOSE 70KG550</v>
      </c>
      <c r="D69" s="159">
        <v>37</v>
      </c>
      <c r="E69" s="159">
        <v>32</v>
      </c>
      <c r="F69" s="159">
        <v>224</v>
      </c>
      <c r="G69" s="159">
        <v>288</v>
      </c>
      <c r="H69" s="159">
        <v>352</v>
      </c>
    </row>
    <row r="70" spans="1:8" x14ac:dyDescent="0.25">
      <c r="A70" s="159" t="s">
        <v>504</v>
      </c>
      <c r="B70" s="159">
        <v>600</v>
      </c>
      <c r="C70" t="str">
        <f t="shared" si="5"/>
        <v>SOFT-CLOSE 70KG600</v>
      </c>
      <c r="D70" s="159">
        <v>37</v>
      </c>
      <c r="E70" s="159">
        <v>32</v>
      </c>
      <c r="F70" s="159">
        <v>224</v>
      </c>
      <c r="G70" s="159">
        <v>352</v>
      </c>
      <c r="H70" s="159">
        <v>384</v>
      </c>
    </row>
    <row r="71" spans="1:8" x14ac:dyDescent="0.25">
      <c r="A71" s="159" t="s">
        <v>504</v>
      </c>
      <c r="B71" s="159">
        <v>650</v>
      </c>
      <c r="C71" t="str">
        <f t="shared" si="5"/>
        <v>SOFT-CLOSE 70KG650</v>
      </c>
      <c r="D71" s="159">
        <v>37</v>
      </c>
      <c r="E71" s="159">
        <v>32</v>
      </c>
      <c r="F71" s="159">
        <v>224</v>
      </c>
      <c r="G71" s="159">
        <v>352</v>
      </c>
      <c r="H71" s="159">
        <v>384</v>
      </c>
    </row>
    <row r="72" spans="1:8" x14ac:dyDescent="0.25">
      <c r="A72" s="159" t="s">
        <v>505</v>
      </c>
      <c r="B72" s="159">
        <v>270</v>
      </c>
      <c r="C72" t="str">
        <f t="shared" si="5"/>
        <v>TIPMATIC 40KG270</v>
      </c>
      <c r="D72" s="159">
        <v>37</v>
      </c>
      <c r="E72" s="159">
        <v>32</v>
      </c>
      <c r="F72" s="159">
        <v>128</v>
      </c>
      <c r="G72" s="159">
        <v>160</v>
      </c>
      <c r="H72" s="209" t="s">
        <v>956</v>
      </c>
    </row>
    <row r="73" spans="1:8" x14ac:dyDescent="0.25">
      <c r="A73" s="159" t="s">
        <v>505</v>
      </c>
      <c r="B73" s="159">
        <v>300</v>
      </c>
      <c r="C73" t="str">
        <f t="shared" si="5"/>
        <v>TIPMATIC 40KG300</v>
      </c>
      <c r="D73" s="159">
        <v>37</v>
      </c>
      <c r="E73" s="159">
        <v>32</v>
      </c>
      <c r="F73" s="159">
        <v>128</v>
      </c>
      <c r="G73" s="159">
        <v>160</v>
      </c>
      <c r="H73" s="209" t="s">
        <v>956</v>
      </c>
    </row>
    <row r="74" spans="1:8" x14ac:dyDescent="0.25">
      <c r="A74" s="159" t="s">
        <v>505</v>
      </c>
      <c r="B74" s="159">
        <v>350</v>
      </c>
      <c r="C74" t="str">
        <f t="shared" si="5"/>
        <v>TIPMATIC 40KG350</v>
      </c>
      <c r="D74" s="159">
        <v>37</v>
      </c>
      <c r="E74" s="159">
        <v>32</v>
      </c>
      <c r="F74" s="159">
        <v>192</v>
      </c>
      <c r="G74" s="159">
        <v>224</v>
      </c>
      <c r="H74" s="209" t="s">
        <v>956</v>
      </c>
    </row>
    <row r="75" spans="1:8" x14ac:dyDescent="0.25">
      <c r="A75" s="159" t="s">
        <v>505</v>
      </c>
      <c r="B75" s="159">
        <v>400</v>
      </c>
      <c r="C75" t="str">
        <f t="shared" si="5"/>
        <v>TIPMATIC 40KG400</v>
      </c>
      <c r="D75" s="159">
        <v>37</v>
      </c>
      <c r="E75" s="159">
        <v>32</v>
      </c>
      <c r="F75" s="159">
        <v>192</v>
      </c>
      <c r="G75" s="159">
        <v>224</v>
      </c>
      <c r="H75" s="209" t="s">
        <v>956</v>
      </c>
    </row>
    <row r="76" spans="1:8" x14ac:dyDescent="0.25">
      <c r="A76" s="159" t="s">
        <v>505</v>
      </c>
      <c r="B76" s="159">
        <v>450</v>
      </c>
      <c r="C76" t="str">
        <f t="shared" si="5"/>
        <v>TIPMATIC 40KG450</v>
      </c>
      <c r="D76" s="159">
        <v>37</v>
      </c>
      <c r="E76" s="159">
        <v>32</v>
      </c>
      <c r="F76" s="159">
        <v>192</v>
      </c>
      <c r="G76" s="159">
        <v>224</v>
      </c>
      <c r="H76" s="209" t="s">
        <v>956</v>
      </c>
    </row>
    <row r="77" spans="1:8" x14ac:dyDescent="0.25">
      <c r="A77" s="159" t="s">
        <v>505</v>
      </c>
      <c r="B77" s="159">
        <v>500</v>
      </c>
      <c r="C77" t="str">
        <f t="shared" si="5"/>
        <v>TIPMATIC 40KG500</v>
      </c>
      <c r="D77" s="159">
        <v>37</v>
      </c>
      <c r="E77" s="159">
        <v>32</v>
      </c>
      <c r="F77" s="159">
        <v>256</v>
      </c>
      <c r="G77" s="159">
        <v>288</v>
      </c>
      <c r="H77" s="209" t="s">
        <v>956</v>
      </c>
    </row>
    <row r="78" spans="1:8" x14ac:dyDescent="0.25">
      <c r="A78" s="159" t="s">
        <v>505</v>
      </c>
      <c r="B78" s="159">
        <v>550</v>
      </c>
      <c r="C78" t="str">
        <f t="shared" si="5"/>
        <v>TIPMATIC 40KG550</v>
      </c>
      <c r="D78" s="159">
        <v>37</v>
      </c>
      <c r="E78" s="159">
        <v>32</v>
      </c>
      <c r="F78" s="159">
        <v>224</v>
      </c>
      <c r="G78" s="159">
        <v>288</v>
      </c>
      <c r="H78" s="159">
        <v>352</v>
      </c>
    </row>
    <row r="79" spans="1:8" x14ac:dyDescent="0.25">
      <c r="A79" s="159" t="s">
        <v>505</v>
      </c>
      <c r="B79" s="159">
        <v>600</v>
      </c>
      <c r="C79" t="str">
        <f t="shared" si="5"/>
        <v>TIPMATIC 40KG600</v>
      </c>
      <c r="D79" s="159">
        <v>37</v>
      </c>
      <c r="E79" s="159">
        <v>32</v>
      </c>
      <c r="F79" s="159">
        <v>224</v>
      </c>
      <c r="G79" s="159">
        <v>352</v>
      </c>
      <c r="H79" s="159">
        <v>384</v>
      </c>
    </row>
    <row r="80" spans="1:8" x14ac:dyDescent="0.25">
      <c r="A80" s="159" t="s">
        <v>506</v>
      </c>
      <c r="B80" s="159">
        <v>450</v>
      </c>
      <c r="C80" t="str">
        <f t="shared" si="5"/>
        <v>TIPMATIC 60KG450</v>
      </c>
      <c r="D80" s="159">
        <v>37</v>
      </c>
      <c r="E80" s="159">
        <v>32</v>
      </c>
      <c r="F80" s="159">
        <v>224</v>
      </c>
      <c r="G80" s="159">
        <v>256</v>
      </c>
      <c r="H80" s="159">
        <v>288</v>
      </c>
    </row>
    <row r="81" spans="1:8" x14ac:dyDescent="0.25">
      <c r="A81" s="159" t="s">
        <v>506</v>
      </c>
      <c r="B81" s="159">
        <v>500</v>
      </c>
      <c r="C81" t="str">
        <f t="shared" si="5"/>
        <v>TIPMATIC 60KG500</v>
      </c>
      <c r="D81" s="159">
        <v>37</v>
      </c>
      <c r="E81" s="159">
        <v>32</v>
      </c>
      <c r="F81" s="159">
        <v>224</v>
      </c>
      <c r="G81" s="159">
        <v>288</v>
      </c>
      <c r="H81" s="159">
        <v>352</v>
      </c>
    </row>
    <row r="82" spans="1:8" x14ac:dyDescent="0.25">
      <c r="A82" s="159" t="s">
        <v>506</v>
      </c>
      <c r="B82" s="159">
        <v>550</v>
      </c>
      <c r="C82" t="str">
        <f t="shared" si="5"/>
        <v>TIPMATIC 60KG550</v>
      </c>
      <c r="D82" s="159">
        <v>37</v>
      </c>
      <c r="E82" s="159">
        <v>32</v>
      </c>
      <c r="F82" s="159">
        <v>224</v>
      </c>
      <c r="G82" s="159">
        <v>288</v>
      </c>
      <c r="H82" s="159">
        <v>352</v>
      </c>
    </row>
    <row r="83" spans="1:8" x14ac:dyDescent="0.25">
      <c r="A83" s="159" t="s">
        <v>506</v>
      </c>
      <c r="B83" s="159">
        <v>600</v>
      </c>
      <c r="C83" t="str">
        <f t="shared" si="5"/>
        <v>TIPMATIC 60KG600</v>
      </c>
      <c r="D83" s="159">
        <v>37</v>
      </c>
      <c r="E83" s="159">
        <v>32</v>
      </c>
      <c r="F83" s="159">
        <v>224</v>
      </c>
      <c r="G83" s="159">
        <v>352</v>
      </c>
      <c r="H83" s="159">
        <v>384</v>
      </c>
    </row>
    <row r="84" spans="1:8" x14ac:dyDescent="0.25">
      <c r="A84" s="159" t="s">
        <v>506</v>
      </c>
      <c r="B84" s="159">
        <v>650</v>
      </c>
      <c r="C84" t="str">
        <f t="shared" si="5"/>
        <v>TIPMATIC 60KG650</v>
      </c>
      <c r="D84" s="159">
        <v>37</v>
      </c>
      <c r="E84" s="159">
        <v>32</v>
      </c>
      <c r="F84" s="159">
        <v>224</v>
      </c>
      <c r="G84" s="159">
        <v>352</v>
      </c>
      <c r="H84" s="159">
        <v>384</v>
      </c>
    </row>
    <row r="86" spans="1:8" x14ac:dyDescent="0.25">
      <c r="A86" t="s">
        <v>941</v>
      </c>
    </row>
    <row r="87" spans="1:8" x14ac:dyDescent="0.25">
      <c r="A87" s="160" t="s">
        <v>0</v>
      </c>
      <c r="B87" s="159">
        <v>23.5</v>
      </c>
      <c r="C87" s="159">
        <v>20</v>
      </c>
      <c r="D87" s="209" t="s">
        <v>956</v>
      </c>
    </row>
    <row r="88" spans="1:8" x14ac:dyDescent="0.25">
      <c r="A88" s="160" t="s">
        <v>1</v>
      </c>
      <c r="B88" s="159">
        <v>31</v>
      </c>
      <c r="C88" s="159">
        <v>32</v>
      </c>
      <c r="D88" s="209" t="s">
        <v>956</v>
      </c>
    </row>
    <row r="89" spans="1:8" x14ac:dyDescent="0.25">
      <c r="A89" s="160" t="s">
        <v>2</v>
      </c>
      <c r="B89" s="159">
        <v>31</v>
      </c>
      <c r="C89" s="159">
        <v>32</v>
      </c>
      <c r="D89" s="209" t="s">
        <v>956</v>
      </c>
    </row>
    <row r="90" spans="1:8" x14ac:dyDescent="0.25">
      <c r="A90" s="160" t="s">
        <v>3</v>
      </c>
      <c r="B90" s="159">
        <v>31</v>
      </c>
      <c r="C90" s="159">
        <v>32</v>
      </c>
      <c r="D90" s="159">
        <v>96</v>
      </c>
    </row>
    <row r="91" spans="1:8" x14ac:dyDescent="0.25">
      <c r="A91" s="160" t="s">
        <v>66</v>
      </c>
      <c r="B91" s="159">
        <v>31</v>
      </c>
      <c r="C91" s="159">
        <v>32</v>
      </c>
      <c r="D91" s="159">
        <v>96</v>
      </c>
    </row>
    <row r="96" spans="1:8" x14ac:dyDescent="0.25">
      <c r="B96" s="211" t="str">
        <f>HLOOKUP(VIONARO!I4,Sprachen!A2:K43,27,FALSE)</f>
        <v>Nr artykułu</v>
      </c>
      <c r="C96" t="str">
        <f>HLOOKUP(VIONARO!I4,Sprachen!A2:K43,28,FALSE)</f>
        <v>Opis 1</v>
      </c>
      <c r="D96" t="str">
        <f>HLOOKUP(VIONARO!I4,Sprachen!A2:K43,29,FALSE)</f>
        <v>Opis 2</v>
      </c>
      <c r="E96" t="str">
        <f>HLOOKUP(VIONARO!I4,Sprachen!A2:K43,30,FALSE)</f>
        <v>Ilość</v>
      </c>
      <c r="G96" s="213"/>
    </row>
    <row r="97" spans="1:7" x14ac:dyDescent="0.25">
      <c r="A97" t="str">
        <f>IF(B97="0","non","ok")</f>
        <v>ok</v>
      </c>
      <c r="B97" s="212" t="str">
        <f t="shared" ref="B97:E103" si="6">AH13</f>
        <v>F135119442</v>
      </c>
      <c r="C97" s="212" t="str">
        <f t="shared" si="6"/>
        <v>Vionaro Stahl Zarge H185</v>
      </c>
      <c r="D97" s="212" t="str">
        <f t="shared" si="6"/>
        <v>NL500 graphit  Set VE1/5</v>
      </c>
      <c r="E97" s="212">
        <f t="shared" si="6"/>
        <v>1</v>
      </c>
      <c r="G97" s="14"/>
    </row>
    <row r="98" spans="1:7" x14ac:dyDescent="0.25">
      <c r="A98" t="str">
        <f t="shared" ref="A98:A124" si="7">IF(B98="0","non","ok")</f>
        <v>ok</v>
      </c>
      <c r="B98" s="212" t="str">
        <f t="shared" si="6"/>
        <v>F135119433</v>
      </c>
      <c r="C98" s="212" t="str">
        <f t="shared" si="6"/>
        <v>Vionaro Stahl Zarge H185</v>
      </c>
      <c r="D98" s="212" t="str">
        <f t="shared" si="6"/>
        <v>NL450 graphit  Set VE1/5</v>
      </c>
      <c r="E98" s="212">
        <f t="shared" si="6"/>
        <v>1</v>
      </c>
      <c r="F98" s="14"/>
      <c r="G98" s="14"/>
    </row>
    <row r="99" spans="1:7" x14ac:dyDescent="0.25">
      <c r="A99" t="str">
        <f t="shared" si="7"/>
        <v>ok</v>
      </c>
      <c r="B99" s="212" t="str">
        <f t="shared" si="6"/>
        <v>F136100312</v>
      </c>
      <c r="C99" s="212" t="str">
        <f t="shared" si="6"/>
        <v>Vionaro Zubehör-Set H185</v>
      </c>
      <c r="D99" s="212" t="str">
        <f t="shared" si="6"/>
        <v>Graphit z. Anschr. VPE 50</v>
      </c>
      <c r="E99" s="212">
        <f t="shared" si="6"/>
        <v>1</v>
      </c>
      <c r="F99" s="14"/>
      <c r="G99" s="14"/>
    </row>
    <row r="100" spans="1:7" x14ac:dyDescent="0.25">
      <c r="A100" t="str">
        <f t="shared" si="7"/>
        <v>ok</v>
      </c>
      <c r="B100" s="212" t="str">
        <f t="shared" si="6"/>
        <v>F136100319</v>
      </c>
      <c r="C100" s="212" t="str">
        <f t="shared" si="6"/>
        <v>Vionaro Zubehör-Set Innenbl.</v>
      </c>
      <c r="D100" s="212" t="str">
        <f t="shared" si="6"/>
        <v>Graphit H185 VPE 50</v>
      </c>
      <c r="E100" s="212">
        <f t="shared" si="6"/>
        <v>1</v>
      </c>
      <c r="F100" s="14"/>
      <c r="G100" s="14"/>
    </row>
    <row r="101" spans="1:7" x14ac:dyDescent="0.25">
      <c r="A101" t="str">
        <f t="shared" si="7"/>
        <v>ok</v>
      </c>
      <c r="B101" s="212" t="str">
        <f t="shared" si="6"/>
        <v>F136120539</v>
      </c>
      <c r="C101" s="212" t="str">
        <f t="shared" si="6"/>
        <v>Vionaro Innenblende H185</v>
      </c>
      <c r="D101" s="212" t="str">
        <f t="shared" si="6"/>
        <v>1160 graphit z. Abläng. VE1/10</v>
      </c>
      <c r="E101" s="212">
        <f t="shared" si="6"/>
        <v>1</v>
      </c>
      <c r="F101" s="14"/>
      <c r="G101" s="14"/>
    </row>
    <row r="102" spans="1:7" x14ac:dyDescent="0.25">
      <c r="A102" t="str">
        <f t="shared" si="7"/>
        <v>ok</v>
      </c>
      <c r="B102" s="212" t="str">
        <f t="shared" si="6"/>
        <v>F130116024</v>
      </c>
      <c r="C102" s="212" t="str">
        <f t="shared" si="6"/>
        <v>Dynapro ST LN500 40 3D</v>
      </c>
      <c r="D102" s="212" t="str">
        <f t="shared" si="6"/>
        <v>Soft-Close</v>
      </c>
      <c r="E102" s="212">
        <f t="shared" si="6"/>
        <v>1</v>
      </c>
      <c r="G102" s="14"/>
    </row>
    <row r="103" spans="1:7" x14ac:dyDescent="0.25">
      <c r="A103" t="str">
        <f t="shared" si="7"/>
        <v>ok</v>
      </c>
      <c r="B103" s="212" t="str">
        <f t="shared" si="6"/>
        <v>F130116022</v>
      </c>
      <c r="C103" s="212" t="str">
        <f t="shared" si="6"/>
        <v>Dynapro ST LN450 40 3D</v>
      </c>
      <c r="D103" s="212" t="str">
        <f t="shared" si="6"/>
        <v>Soft-Close</v>
      </c>
      <c r="E103" s="212">
        <f t="shared" si="6"/>
        <v>1</v>
      </c>
      <c r="G103" s="14"/>
    </row>
    <row r="104" spans="1:7" x14ac:dyDescent="0.25">
      <c r="A104" t="str">
        <f t="shared" si="7"/>
        <v>ok</v>
      </c>
      <c r="B104" s="212" t="str">
        <f t="shared" ref="B104:E110" si="8">AH21</f>
        <v>F135119333</v>
      </c>
      <c r="C104" s="212" t="str">
        <f t="shared" si="8"/>
        <v>Vionaro Stahl Zarge H89</v>
      </c>
      <c r="D104" s="212" t="str">
        <f t="shared" si="8"/>
        <v>NL500 graphit  Set VE1/5</v>
      </c>
      <c r="E104" s="212">
        <f t="shared" si="8"/>
        <v>1</v>
      </c>
      <c r="G104" s="14"/>
    </row>
    <row r="105" spans="1:7" x14ac:dyDescent="0.25">
      <c r="A105" t="str">
        <f t="shared" si="7"/>
        <v>non</v>
      </c>
      <c r="B105" s="212" t="str">
        <f t="shared" si="8"/>
        <v>0</v>
      </c>
      <c r="C105" s="212" t="str">
        <f t="shared" si="8"/>
        <v>0</v>
      </c>
      <c r="D105" s="212" t="str">
        <f t="shared" si="8"/>
        <v>0</v>
      </c>
      <c r="E105" s="212" t="str">
        <f t="shared" si="8"/>
        <v>0</v>
      </c>
      <c r="G105" s="14"/>
    </row>
    <row r="106" spans="1:7" x14ac:dyDescent="0.25">
      <c r="A106" t="str">
        <f t="shared" si="7"/>
        <v>ok</v>
      </c>
      <c r="B106" s="212" t="str">
        <f t="shared" si="8"/>
        <v>F136100123</v>
      </c>
      <c r="C106" s="212" t="str">
        <f t="shared" si="8"/>
        <v>Vionaro Zubehör-Set H89</v>
      </c>
      <c r="D106" s="212" t="str">
        <f t="shared" si="8"/>
        <v>Graphit z. Anschr. VPE 50</v>
      </c>
      <c r="E106" s="212">
        <f t="shared" si="8"/>
        <v>1</v>
      </c>
      <c r="G106" s="14"/>
    </row>
    <row r="107" spans="1:7" x14ac:dyDescent="0.25">
      <c r="A107" t="str">
        <f t="shared" si="7"/>
        <v>non</v>
      </c>
      <c r="B107" s="212" t="str">
        <f t="shared" si="8"/>
        <v>0</v>
      </c>
      <c r="C107" s="212" t="str">
        <f t="shared" si="8"/>
        <v>0</v>
      </c>
      <c r="D107" s="212" t="str">
        <f t="shared" si="8"/>
        <v>0</v>
      </c>
      <c r="E107" s="212" t="str">
        <f t="shared" si="8"/>
        <v>0</v>
      </c>
      <c r="G107" s="14"/>
    </row>
    <row r="108" spans="1:7" x14ac:dyDescent="0.25">
      <c r="A108" t="str">
        <f t="shared" si="7"/>
        <v>non</v>
      </c>
      <c r="B108" s="212" t="str">
        <f t="shared" si="8"/>
        <v>0</v>
      </c>
      <c r="C108" s="212" t="str">
        <f t="shared" si="8"/>
        <v>0</v>
      </c>
      <c r="D108" s="212" t="str">
        <f t="shared" si="8"/>
        <v>0</v>
      </c>
      <c r="E108" s="212" t="str">
        <f t="shared" si="8"/>
        <v>0</v>
      </c>
      <c r="G108" s="14"/>
    </row>
    <row r="109" spans="1:7" x14ac:dyDescent="0.25">
      <c r="A109" t="str">
        <f t="shared" si="7"/>
        <v>ok</v>
      </c>
      <c r="B109" s="212" t="str">
        <f t="shared" si="8"/>
        <v>F130116024</v>
      </c>
      <c r="C109" s="212" t="str">
        <f t="shared" si="8"/>
        <v>Dynapro ST LN500 40 3D</v>
      </c>
      <c r="D109" s="212" t="str">
        <f t="shared" si="8"/>
        <v>Soft-Close</v>
      </c>
      <c r="E109" s="212">
        <f t="shared" si="8"/>
        <v>1</v>
      </c>
      <c r="G109" s="14"/>
    </row>
    <row r="110" spans="1:7" x14ac:dyDescent="0.25">
      <c r="A110" t="str">
        <f t="shared" si="7"/>
        <v>non</v>
      </c>
      <c r="B110" s="212" t="str">
        <f t="shared" si="8"/>
        <v>0</v>
      </c>
      <c r="C110" s="212" t="str">
        <f t="shared" si="8"/>
        <v>0</v>
      </c>
      <c r="D110" s="212" t="str">
        <f t="shared" si="8"/>
        <v>0</v>
      </c>
      <c r="E110" s="212" t="str">
        <f t="shared" si="8"/>
        <v>0</v>
      </c>
      <c r="G110" s="14"/>
    </row>
    <row r="111" spans="1:7" x14ac:dyDescent="0.25">
      <c r="A111" t="str">
        <f t="shared" si="7"/>
        <v>non</v>
      </c>
      <c r="B111" s="212" t="str">
        <f t="shared" ref="B111:E117" si="9">AH29</f>
        <v>0</v>
      </c>
      <c r="C111" s="212" t="str">
        <f t="shared" si="9"/>
        <v>0</v>
      </c>
      <c r="D111" s="212" t="str">
        <f t="shared" si="9"/>
        <v>0</v>
      </c>
      <c r="E111" s="212" t="str">
        <f t="shared" si="9"/>
        <v>0</v>
      </c>
      <c r="G111" s="14"/>
    </row>
    <row r="112" spans="1:7" x14ac:dyDescent="0.25">
      <c r="A112" t="str">
        <f t="shared" si="7"/>
        <v>non</v>
      </c>
      <c r="B112" s="212" t="str">
        <f t="shared" si="9"/>
        <v>0</v>
      </c>
      <c r="C112" s="212" t="str">
        <f t="shared" si="9"/>
        <v>0</v>
      </c>
      <c r="D112" s="212" t="str">
        <f t="shared" si="9"/>
        <v>0</v>
      </c>
      <c r="E112" s="212" t="str">
        <f t="shared" si="9"/>
        <v>0</v>
      </c>
      <c r="G112" s="14"/>
    </row>
    <row r="113" spans="1:7" x14ac:dyDescent="0.25">
      <c r="A113" t="str">
        <f t="shared" si="7"/>
        <v>non</v>
      </c>
      <c r="B113" s="212" t="str">
        <f t="shared" si="9"/>
        <v>0</v>
      </c>
      <c r="C113" s="212" t="str">
        <f t="shared" si="9"/>
        <v>0</v>
      </c>
      <c r="D113" s="212" t="str">
        <f t="shared" si="9"/>
        <v>0</v>
      </c>
      <c r="E113" s="212" t="str">
        <f t="shared" si="9"/>
        <v>0</v>
      </c>
      <c r="G113" s="14"/>
    </row>
    <row r="114" spans="1:7" x14ac:dyDescent="0.25">
      <c r="A114" t="str">
        <f t="shared" si="7"/>
        <v>non</v>
      </c>
      <c r="B114" s="212" t="str">
        <f t="shared" si="9"/>
        <v>0</v>
      </c>
      <c r="C114" s="212" t="str">
        <f t="shared" si="9"/>
        <v>0</v>
      </c>
      <c r="D114" s="212" t="str">
        <f t="shared" si="9"/>
        <v>0</v>
      </c>
      <c r="E114" s="212" t="str">
        <f t="shared" si="9"/>
        <v>0</v>
      </c>
      <c r="G114" s="14"/>
    </row>
    <row r="115" spans="1:7" x14ac:dyDescent="0.25">
      <c r="A115" t="str">
        <f t="shared" si="7"/>
        <v>non</v>
      </c>
      <c r="B115" s="212" t="str">
        <f t="shared" si="9"/>
        <v>0</v>
      </c>
      <c r="C115" s="212" t="str">
        <f t="shared" si="9"/>
        <v>0</v>
      </c>
      <c r="D115" s="212" t="str">
        <f t="shared" si="9"/>
        <v>0</v>
      </c>
      <c r="E115" s="212" t="str">
        <f t="shared" si="9"/>
        <v>0</v>
      </c>
      <c r="G115" s="14"/>
    </row>
    <row r="116" spans="1:7" x14ac:dyDescent="0.25">
      <c r="A116" t="str">
        <f t="shared" si="7"/>
        <v>non</v>
      </c>
      <c r="B116" s="212" t="str">
        <f t="shared" si="9"/>
        <v>0</v>
      </c>
      <c r="C116" s="212" t="str">
        <f t="shared" si="9"/>
        <v>0</v>
      </c>
      <c r="D116" s="212" t="str">
        <f t="shared" si="9"/>
        <v>0</v>
      </c>
      <c r="E116" s="212" t="str">
        <f t="shared" si="9"/>
        <v>0</v>
      </c>
      <c r="G116" s="14"/>
    </row>
    <row r="117" spans="1:7" x14ac:dyDescent="0.25">
      <c r="A117" t="str">
        <f t="shared" si="7"/>
        <v>non</v>
      </c>
      <c r="B117" s="212" t="str">
        <f t="shared" si="9"/>
        <v>0</v>
      </c>
      <c r="C117" s="212" t="str">
        <f t="shared" si="9"/>
        <v>0</v>
      </c>
      <c r="D117" s="212" t="str">
        <f t="shared" si="9"/>
        <v>0</v>
      </c>
      <c r="E117" s="212" t="str">
        <f t="shared" si="9"/>
        <v>0</v>
      </c>
      <c r="G117" s="14"/>
    </row>
    <row r="118" spans="1:7" x14ac:dyDescent="0.25">
      <c r="A118" t="str">
        <f t="shared" si="7"/>
        <v>non</v>
      </c>
      <c r="B118" s="212" t="str">
        <f t="shared" ref="B118:E124" si="10">AH37</f>
        <v>0</v>
      </c>
      <c r="C118" s="212" t="str">
        <f t="shared" si="10"/>
        <v>0</v>
      </c>
      <c r="D118" s="212" t="str">
        <f t="shared" si="10"/>
        <v>0</v>
      </c>
      <c r="E118" s="212" t="str">
        <f t="shared" si="10"/>
        <v>0</v>
      </c>
      <c r="G118" s="14"/>
    </row>
    <row r="119" spans="1:7" x14ac:dyDescent="0.25">
      <c r="A119" t="str">
        <f t="shared" si="7"/>
        <v>non</v>
      </c>
      <c r="B119" s="212" t="str">
        <f t="shared" si="10"/>
        <v>0</v>
      </c>
      <c r="C119" s="212" t="str">
        <f t="shared" si="10"/>
        <v>0</v>
      </c>
      <c r="D119" s="212" t="str">
        <f t="shared" si="10"/>
        <v>0</v>
      </c>
      <c r="E119" s="212" t="str">
        <f t="shared" si="10"/>
        <v>0</v>
      </c>
      <c r="G119" s="14"/>
    </row>
    <row r="120" spans="1:7" x14ac:dyDescent="0.25">
      <c r="A120" t="str">
        <f t="shared" si="7"/>
        <v>non</v>
      </c>
      <c r="B120" s="212" t="str">
        <f t="shared" si="10"/>
        <v>0</v>
      </c>
      <c r="C120" s="212" t="str">
        <f t="shared" si="10"/>
        <v>0</v>
      </c>
      <c r="D120" s="212" t="str">
        <f t="shared" si="10"/>
        <v>0</v>
      </c>
      <c r="E120" s="212" t="str">
        <f t="shared" si="10"/>
        <v>0</v>
      </c>
      <c r="G120" s="14"/>
    </row>
    <row r="121" spans="1:7" x14ac:dyDescent="0.25">
      <c r="A121" t="str">
        <f t="shared" si="7"/>
        <v>non</v>
      </c>
      <c r="B121" s="212" t="str">
        <f t="shared" si="10"/>
        <v>0</v>
      </c>
      <c r="C121" s="212" t="str">
        <f t="shared" si="10"/>
        <v>0</v>
      </c>
      <c r="D121" s="212" t="str">
        <f t="shared" si="10"/>
        <v>0</v>
      </c>
      <c r="E121" s="212" t="str">
        <f t="shared" si="10"/>
        <v>0</v>
      </c>
      <c r="G121" s="14"/>
    </row>
    <row r="122" spans="1:7" x14ac:dyDescent="0.25">
      <c r="A122" t="str">
        <f t="shared" si="7"/>
        <v>non</v>
      </c>
      <c r="B122" s="212" t="str">
        <f t="shared" si="10"/>
        <v>0</v>
      </c>
      <c r="C122" s="212" t="str">
        <f t="shared" si="10"/>
        <v>0</v>
      </c>
      <c r="D122" s="212" t="str">
        <f t="shared" si="10"/>
        <v>0</v>
      </c>
      <c r="E122" s="212" t="str">
        <f t="shared" si="10"/>
        <v>0</v>
      </c>
      <c r="G122" s="14"/>
    </row>
    <row r="123" spans="1:7" x14ac:dyDescent="0.25">
      <c r="A123" t="str">
        <f t="shared" si="7"/>
        <v>non</v>
      </c>
      <c r="B123" s="212" t="str">
        <f t="shared" si="10"/>
        <v>0</v>
      </c>
      <c r="C123" s="212" t="str">
        <f t="shared" si="10"/>
        <v>0</v>
      </c>
      <c r="D123" s="212" t="str">
        <f t="shared" si="10"/>
        <v>0</v>
      </c>
      <c r="E123" s="212" t="str">
        <f t="shared" si="10"/>
        <v>0</v>
      </c>
      <c r="G123" s="14"/>
    </row>
    <row r="124" spans="1:7" x14ac:dyDescent="0.25">
      <c r="A124" t="str">
        <f t="shared" si="7"/>
        <v>non</v>
      </c>
      <c r="B124" s="212" t="str">
        <f t="shared" si="10"/>
        <v>0</v>
      </c>
      <c r="C124" s="212" t="str">
        <f t="shared" si="10"/>
        <v>0</v>
      </c>
      <c r="D124" s="212" t="str">
        <f t="shared" si="10"/>
        <v>0</v>
      </c>
      <c r="E124" s="212" t="str">
        <f t="shared" si="10"/>
        <v>0</v>
      </c>
      <c r="G124" s="14"/>
    </row>
    <row r="136" spans="1:6" x14ac:dyDescent="0.25">
      <c r="A136" t="str">
        <f>IF(C136=0,"non","ok")</f>
        <v>ok</v>
      </c>
      <c r="B136" t="str">
        <f t="shared" ref="B136:F142" si="11">AP14</f>
        <v>Dno 1A</v>
      </c>
      <c r="C136">
        <f t="shared" si="11"/>
        <v>489</v>
      </c>
      <c r="D136">
        <f t="shared" si="11"/>
        <v>543</v>
      </c>
      <c r="E136">
        <f t="shared" si="11"/>
        <v>16</v>
      </c>
      <c r="F136">
        <f t="shared" si="11"/>
        <v>1</v>
      </c>
    </row>
    <row r="137" spans="1:6" x14ac:dyDescent="0.25">
      <c r="A137" t="str">
        <f t="shared" ref="A137:A160" si="12">IF(C137=0,"non","ok")</f>
        <v>ok</v>
      </c>
      <c r="B137" t="str">
        <f t="shared" si="11"/>
        <v>Plecy 1A</v>
      </c>
      <c r="C137">
        <f t="shared" si="11"/>
        <v>155</v>
      </c>
      <c r="D137">
        <f t="shared" si="11"/>
        <v>522</v>
      </c>
      <c r="E137">
        <f t="shared" si="11"/>
        <v>16</v>
      </c>
      <c r="F137">
        <f t="shared" si="11"/>
        <v>1</v>
      </c>
    </row>
    <row r="138" spans="1:6" x14ac:dyDescent="0.25">
      <c r="A138" t="str">
        <f t="shared" si="12"/>
        <v>ok</v>
      </c>
      <c r="B138" t="str">
        <f t="shared" si="11"/>
        <v>Dno 1B</v>
      </c>
      <c r="C138">
        <f t="shared" si="11"/>
        <v>439</v>
      </c>
      <c r="D138">
        <f t="shared" si="11"/>
        <v>543</v>
      </c>
      <c r="E138">
        <f t="shared" si="11"/>
        <v>16</v>
      </c>
      <c r="F138">
        <f t="shared" si="11"/>
        <v>1</v>
      </c>
    </row>
    <row r="139" spans="1:6" x14ac:dyDescent="0.25">
      <c r="A139" t="str">
        <f t="shared" si="12"/>
        <v>ok</v>
      </c>
      <c r="B139" t="str">
        <f t="shared" si="11"/>
        <v>Plecy 1B</v>
      </c>
      <c r="C139">
        <f t="shared" si="11"/>
        <v>155</v>
      </c>
      <c r="D139">
        <f t="shared" si="11"/>
        <v>522</v>
      </c>
      <c r="E139">
        <f t="shared" si="11"/>
        <v>16</v>
      </c>
      <c r="F139">
        <f t="shared" si="11"/>
        <v>1</v>
      </c>
    </row>
    <row r="140" spans="1:6" x14ac:dyDescent="0.25">
      <c r="A140" t="str">
        <f t="shared" si="12"/>
        <v>non</v>
      </c>
      <c r="B140">
        <f t="shared" si="11"/>
        <v>0</v>
      </c>
      <c r="C140">
        <f t="shared" si="11"/>
        <v>0</v>
      </c>
      <c r="D140">
        <f t="shared" si="11"/>
        <v>0</v>
      </c>
      <c r="E140">
        <f t="shared" si="11"/>
        <v>0</v>
      </c>
      <c r="F140">
        <f t="shared" si="11"/>
        <v>0</v>
      </c>
    </row>
    <row r="141" spans="1:6" x14ac:dyDescent="0.25">
      <c r="A141" t="str">
        <f t="shared" si="12"/>
        <v>non</v>
      </c>
      <c r="B141">
        <f t="shared" si="11"/>
        <v>0</v>
      </c>
      <c r="C141">
        <f t="shared" si="11"/>
        <v>0</v>
      </c>
      <c r="D141">
        <f t="shared" si="11"/>
        <v>0</v>
      </c>
      <c r="E141">
        <f t="shared" si="11"/>
        <v>0</v>
      </c>
      <c r="F141">
        <f t="shared" si="11"/>
        <v>0</v>
      </c>
    </row>
    <row r="142" spans="1:6" x14ac:dyDescent="0.25">
      <c r="A142" t="str">
        <f t="shared" si="12"/>
        <v>non</v>
      </c>
      <c r="B142">
        <f t="shared" si="11"/>
        <v>0</v>
      </c>
      <c r="C142">
        <f t="shared" si="11"/>
        <v>0</v>
      </c>
      <c r="D142">
        <f t="shared" si="11"/>
        <v>0</v>
      </c>
      <c r="E142">
        <f t="shared" si="11"/>
        <v>0</v>
      </c>
      <c r="F142">
        <f t="shared" si="11"/>
        <v>0</v>
      </c>
    </row>
    <row r="143" spans="1:6" x14ac:dyDescent="0.25">
      <c r="A143" t="str">
        <f t="shared" si="12"/>
        <v>ok</v>
      </c>
      <c r="B143" t="str">
        <f t="shared" ref="B143:F149" si="13">AP22</f>
        <v>Dno 2A</v>
      </c>
      <c r="C143">
        <f t="shared" si="13"/>
        <v>489</v>
      </c>
      <c r="D143">
        <f t="shared" si="13"/>
        <v>543</v>
      </c>
      <c r="E143">
        <f t="shared" si="13"/>
        <v>16</v>
      </c>
      <c r="F143">
        <f t="shared" si="13"/>
        <v>1</v>
      </c>
    </row>
    <row r="144" spans="1:6" x14ac:dyDescent="0.25">
      <c r="A144" t="str">
        <f t="shared" si="12"/>
        <v>ok</v>
      </c>
      <c r="B144" t="str">
        <f t="shared" si="13"/>
        <v>Plecy 2A</v>
      </c>
      <c r="C144">
        <f t="shared" si="13"/>
        <v>59</v>
      </c>
      <c r="D144">
        <f t="shared" si="13"/>
        <v>522</v>
      </c>
      <c r="E144">
        <f t="shared" si="13"/>
        <v>16</v>
      </c>
      <c r="F144">
        <f t="shared" si="13"/>
        <v>1</v>
      </c>
    </row>
    <row r="145" spans="1:6" x14ac:dyDescent="0.25">
      <c r="A145" t="str">
        <f t="shared" si="12"/>
        <v>non</v>
      </c>
      <c r="B145" t="str">
        <f t="shared" si="13"/>
        <v>Dno 2B</v>
      </c>
      <c r="C145">
        <f t="shared" si="13"/>
        <v>0</v>
      </c>
      <c r="D145">
        <f t="shared" si="13"/>
        <v>543</v>
      </c>
      <c r="E145">
        <f t="shared" si="13"/>
        <v>16</v>
      </c>
      <c r="F145">
        <f t="shared" si="13"/>
        <v>1</v>
      </c>
    </row>
    <row r="146" spans="1:6" x14ac:dyDescent="0.25">
      <c r="A146" t="str">
        <f t="shared" si="12"/>
        <v>non</v>
      </c>
      <c r="B146" t="str">
        <f t="shared" si="13"/>
        <v>Plecy 2B</v>
      </c>
      <c r="C146">
        <f t="shared" si="13"/>
        <v>0</v>
      </c>
      <c r="D146">
        <f t="shared" si="13"/>
        <v>522</v>
      </c>
      <c r="E146">
        <f t="shared" si="13"/>
        <v>16</v>
      </c>
      <c r="F146">
        <f t="shared" si="13"/>
        <v>1</v>
      </c>
    </row>
    <row r="147" spans="1:6" x14ac:dyDescent="0.25">
      <c r="A147" t="str">
        <f t="shared" si="12"/>
        <v>non</v>
      </c>
      <c r="B147">
        <f t="shared" si="13"/>
        <v>0</v>
      </c>
      <c r="C147">
        <f t="shared" si="13"/>
        <v>0</v>
      </c>
      <c r="D147">
        <f t="shared" si="13"/>
        <v>0</v>
      </c>
      <c r="E147">
        <f t="shared" si="13"/>
        <v>0</v>
      </c>
      <c r="F147">
        <f t="shared" si="13"/>
        <v>0</v>
      </c>
    </row>
    <row r="148" spans="1:6" x14ac:dyDescent="0.25">
      <c r="A148" t="str">
        <f t="shared" si="12"/>
        <v>non</v>
      </c>
      <c r="B148">
        <f t="shared" si="13"/>
        <v>0</v>
      </c>
      <c r="C148">
        <f t="shared" si="13"/>
        <v>0</v>
      </c>
      <c r="D148">
        <f t="shared" si="13"/>
        <v>0</v>
      </c>
      <c r="E148">
        <f t="shared" si="13"/>
        <v>0</v>
      </c>
      <c r="F148">
        <f t="shared" si="13"/>
        <v>0</v>
      </c>
    </row>
    <row r="149" spans="1:6" x14ac:dyDescent="0.25">
      <c r="A149" t="str">
        <f t="shared" si="12"/>
        <v>non</v>
      </c>
      <c r="B149">
        <f t="shared" si="13"/>
        <v>0</v>
      </c>
      <c r="C149">
        <f t="shared" si="13"/>
        <v>0</v>
      </c>
      <c r="D149">
        <f t="shared" si="13"/>
        <v>0</v>
      </c>
      <c r="E149">
        <f t="shared" si="13"/>
        <v>0</v>
      </c>
      <c r="F149">
        <f t="shared" si="13"/>
        <v>0</v>
      </c>
    </row>
    <row r="150" spans="1:6" x14ac:dyDescent="0.25">
      <c r="A150" t="str">
        <f t="shared" si="12"/>
        <v>non</v>
      </c>
      <c r="B150" t="str">
        <f t="shared" ref="B150:F156" si="14">AP30</f>
        <v>Dno 3A</v>
      </c>
      <c r="C150">
        <f t="shared" si="14"/>
        <v>0</v>
      </c>
      <c r="D150">
        <f t="shared" si="14"/>
        <v>543</v>
      </c>
      <c r="E150">
        <f t="shared" si="14"/>
        <v>16</v>
      </c>
      <c r="F150">
        <f t="shared" si="14"/>
        <v>1</v>
      </c>
    </row>
    <row r="151" spans="1:6" x14ac:dyDescent="0.25">
      <c r="A151" t="str">
        <f t="shared" si="12"/>
        <v>non</v>
      </c>
      <c r="B151" t="str">
        <f t="shared" si="14"/>
        <v>Plecy 3A</v>
      </c>
      <c r="C151">
        <f t="shared" si="14"/>
        <v>0</v>
      </c>
      <c r="D151">
        <f t="shared" si="14"/>
        <v>522</v>
      </c>
      <c r="E151">
        <f t="shared" si="14"/>
        <v>16</v>
      </c>
      <c r="F151">
        <f t="shared" si="14"/>
        <v>1</v>
      </c>
    </row>
    <row r="152" spans="1:6" x14ac:dyDescent="0.25">
      <c r="A152" t="str">
        <f t="shared" si="12"/>
        <v>non</v>
      </c>
      <c r="B152" t="str">
        <f t="shared" si="14"/>
        <v>Dno 3B</v>
      </c>
      <c r="C152">
        <f t="shared" si="14"/>
        <v>0</v>
      </c>
      <c r="D152">
        <f t="shared" si="14"/>
        <v>543</v>
      </c>
      <c r="E152">
        <f t="shared" si="14"/>
        <v>16</v>
      </c>
      <c r="F152">
        <f t="shared" si="14"/>
        <v>1</v>
      </c>
    </row>
    <row r="153" spans="1:6" x14ac:dyDescent="0.25">
      <c r="A153" t="str">
        <f t="shared" si="12"/>
        <v>non</v>
      </c>
      <c r="B153" t="str">
        <f t="shared" si="14"/>
        <v>Plecy 3B</v>
      </c>
      <c r="C153">
        <f t="shared" si="14"/>
        <v>0</v>
      </c>
      <c r="D153">
        <f t="shared" si="14"/>
        <v>522</v>
      </c>
      <c r="E153">
        <f t="shared" si="14"/>
        <v>16</v>
      </c>
      <c r="F153">
        <f t="shared" si="14"/>
        <v>1</v>
      </c>
    </row>
    <row r="154" spans="1:6" x14ac:dyDescent="0.25">
      <c r="A154" t="str">
        <f t="shared" si="12"/>
        <v>non</v>
      </c>
      <c r="B154">
        <f t="shared" si="14"/>
        <v>0</v>
      </c>
      <c r="C154">
        <f t="shared" si="14"/>
        <v>0</v>
      </c>
      <c r="D154">
        <f t="shared" si="14"/>
        <v>0</v>
      </c>
      <c r="E154">
        <f t="shared" si="14"/>
        <v>0</v>
      </c>
      <c r="F154">
        <f t="shared" si="14"/>
        <v>0</v>
      </c>
    </row>
    <row r="155" spans="1:6" x14ac:dyDescent="0.25">
      <c r="A155" t="str">
        <f t="shared" si="12"/>
        <v>non</v>
      </c>
      <c r="B155">
        <f t="shared" si="14"/>
        <v>0</v>
      </c>
      <c r="C155">
        <f t="shared" si="14"/>
        <v>0</v>
      </c>
      <c r="D155">
        <f t="shared" si="14"/>
        <v>0</v>
      </c>
      <c r="E155">
        <f t="shared" si="14"/>
        <v>0</v>
      </c>
      <c r="F155">
        <f t="shared" si="14"/>
        <v>0</v>
      </c>
    </row>
    <row r="156" spans="1:6" x14ac:dyDescent="0.25">
      <c r="A156" t="str">
        <f t="shared" si="12"/>
        <v>non</v>
      </c>
      <c r="B156">
        <f t="shared" si="14"/>
        <v>0</v>
      </c>
      <c r="C156">
        <f t="shared" si="14"/>
        <v>0</v>
      </c>
      <c r="D156">
        <f t="shared" si="14"/>
        <v>0</v>
      </c>
      <c r="E156">
        <f t="shared" si="14"/>
        <v>0</v>
      </c>
      <c r="F156">
        <f t="shared" si="14"/>
        <v>0</v>
      </c>
    </row>
    <row r="157" spans="1:6" x14ac:dyDescent="0.25">
      <c r="A157" t="str">
        <f t="shared" si="12"/>
        <v>non</v>
      </c>
      <c r="B157" t="str">
        <f t="shared" ref="B157:F160" si="15">AP38</f>
        <v>Dno 4A</v>
      </c>
      <c r="C157">
        <f t="shared" si="15"/>
        <v>0</v>
      </c>
      <c r="D157">
        <f t="shared" si="15"/>
        <v>543</v>
      </c>
      <c r="E157">
        <f t="shared" si="15"/>
        <v>16</v>
      </c>
      <c r="F157">
        <f t="shared" si="15"/>
        <v>1</v>
      </c>
    </row>
    <row r="158" spans="1:6" x14ac:dyDescent="0.25">
      <c r="A158" t="str">
        <f t="shared" si="12"/>
        <v>non</v>
      </c>
      <c r="B158" t="str">
        <f t="shared" si="15"/>
        <v>Plecy 4A</v>
      </c>
      <c r="C158">
        <f t="shared" si="15"/>
        <v>0</v>
      </c>
      <c r="D158">
        <f t="shared" si="15"/>
        <v>522</v>
      </c>
      <c r="E158">
        <f t="shared" si="15"/>
        <v>16</v>
      </c>
      <c r="F158">
        <f t="shared" si="15"/>
        <v>1</v>
      </c>
    </row>
    <row r="159" spans="1:6" x14ac:dyDescent="0.25">
      <c r="A159" t="str">
        <f t="shared" si="12"/>
        <v>non</v>
      </c>
      <c r="B159" t="str">
        <f t="shared" si="15"/>
        <v>Dno 4B</v>
      </c>
      <c r="C159">
        <f t="shared" si="15"/>
        <v>0</v>
      </c>
      <c r="D159">
        <f t="shared" si="15"/>
        <v>543</v>
      </c>
      <c r="E159">
        <f t="shared" si="15"/>
        <v>16</v>
      </c>
      <c r="F159">
        <f t="shared" si="15"/>
        <v>1</v>
      </c>
    </row>
    <row r="160" spans="1:6" x14ac:dyDescent="0.25">
      <c r="A160" t="str">
        <f t="shared" si="12"/>
        <v>non</v>
      </c>
      <c r="B160" t="str">
        <f t="shared" si="15"/>
        <v>Plecy 4B</v>
      </c>
      <c r="C160">
        <f t="shared" si="15"/>
        <v>0</v>
      </c>
      <c r="D160">
        <f t="shared" si="15"/>
        <v>522</v>
      </c>
      <c r="E160">
        <f t="shared" si="15"/>
        <v>16</v>
      </c>
      <c r="F160">
        <f t="shared" si="15"/>
        <v>1</v>
      </c>
    </row>
  </sheetData>
  <dataConsolidate>
    <dataRefs count="1">
      <dataRef ref="A97:A125" sheet="Formeln"/>
    </dataRefs>
  </dataConsolidate>
  <mergeCells count="8">
    <mergeCell ref="H37:P37"/>
    <mergeCell ref="Q37:Z37"/>
    <mergeCell ref="H13:P13"/>
    <mergeCell ref="Q13:Z13"/>
    <mergeCell ref="H21:P21"/>
    <mergeCell ref="Q21:Z21"/>
    <mergeCell ref="H29:P29"/>
    <mergeCell ref="Q29:Z29"/>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2:K65"/>
  <sheetViews>
    <sheetView topLeftCell="F1" zoomScale="85" zoomScaleNormal="85" workbookViewId="0">
      <selection activeCell="J54" sqref="J54:J59"/>
    </sheetView>
  </sheetViews>
  <sheetFormatPr defaultColWidth="11.42578125" defaultRowHeight="15" x14ac:dyDescent="0.25"/>
  <cols>
    <col min="1" max="1" width="30.7109375" customWidth="1"/>
    <col min="2" max="2" width="29.7109375" customWidth="1"/>
    <col min="3" max="6" width="30.7109375" customWidth="1"/>
    <col min="7" max="7" width="32.85546875" customWidth="1"/>
    <col min="8" max="10" width="30.7109375" customWidth="1"/>
    <col min="11" max="11" width="37.85546875" bestFit="1" customWidth="1"/>
  </cols>
  <sheetData>
    <row r="2" spans="1:11" x14ac:dyDescent="0.25">
      <c r="A2" s="226" t="s">
        <v>19</v>
      </c>
      <c r="B2" s="169" t="s">
        <v>20</v>
      </c>
      <c r="C2" t="s">
        <v>21</v>
      </c>
      <c r="D2" s="226" t="s">
        <v>22</v>
      </c>
      <c r="E2" t="s">
        <v>23</v>
      </c>
      <c r="F2" t="s">
        <v>24</v>
      </c>
      <c r="G2" t="s">
        <v>25</v>
      </c>
      <c r="H2" t="s">
        <v>26</v>
      </c>
      <c r="I2" s="226" t="s">
        <v>507</v>
      </c>
      <c r="J2" s="226" t="s">
        <v>1080</v>
      </c>
      <c r="K2" s="226" t="s">
        <v>727</v>
      </c>
    </row>
    <row r="3" spans="1:11" x14ac:dyDescent="0.25">
      <c r="A3" t="s">
        <v>826</v>
      </c>
      <c r="B3" s="53" t="s">
        <v>827</v>
      </c>
      <c r="C3" s="12" t="s">
        <v>828</v>
      </c>
      <c r="D3" t="s">
        <v>829</v>
      </c>
      <c r="E3" t="s">
        <v>830</v>
      </c>
      <c r="F3" t="s">
        <v>33</v>
      </c>
      <c r="G3" t="s">
        <v>43</v>
      </c>
      <c r="H3" t="s">
        <v>31</v>
      </c>
      <c r="I3" t="s">
        <v>1020</v>
      </c>
      <c r="J3" t="s">
        <v>1081</v>
      </c>
      <c r="K3" t="s">
        <v>728</v>
      </c>
    </row>
    <row r="4" spans="1:11" x14ac:dyDescent="0.25">
      <c r="A4" t="s">
        <v>823</v>
      </c>
      <c r="B4" s="53" t="s">
        <v>824</v>
      </c>
      <c r="C4" s="12" t="s">
        <v>825</v>
      </c>
      <c r="D4" t="s">
        <v>810</v>
      </c>
      <c r="E4" t="s">
        <v>639</v>
      </c>
      <c r="F4" t="s">
        <v>642</v>
      </c>
      <c r="H4" t="s">
        <v>698</v>
      </c>
      <c r="I4" t="s">
        <v>1021</v>
      </c>
      <c r="J4" t="s">
        <v>1082</v>
      </c>
      <c r="K4" t="s">
        <v>729</v>
      </c>
    </row>
    <row r="5" spans="1:11" x14ac:dyDescent="0.25">
      <c r="A5" t="s">
        <v>53</v>
      </c>
      <c r="B5" s="53" t="s">
        <v>601</v>
      </c>
      <c r="C5" s="12" t="s">
        <v>49</v>
      </c>
      <c r="D5" t="s">
        <v>39</v>
      </c>
      <c r="E5" t="s">
        <v>621</v>
      </c>
      <c r="F5" t="s">
        <v>34</v>
      </c>
      <c r="G5" t="s">
        <v>44</v>
      </c>
      <c r="H5" t="s">
        <v>699</v>
      </c>
      <c r="I5" t="s">
        <v>1022</v>
      </c>
      <c r="J5" t="s">
        <v>1083</v>
      </c>
      <c r="K5" t="s">
        <v>730</v>
      </c>
    </row>
    <row r="6" spans="1:11" x14ac:dyDescent="0.25">
      <c r="A6" t="s">
        <v>14</v>
      </c>
      <c r="B6" s="53" t="s">
        <v>32</v>
      </c>
      <c r="C6" s="12" t="s">
        <v>51</v>
      </c>
      <c r="D6" t="s">
        <v>40</v>
      </c>
      <c r="E6" t="s">
        <v>622</v>
      </c>
      <c r="F6" t="s">
        <v>643</v>
      </c>
      <c r="G6" t="s">
        <v>48</v>
      </c>
      <c r="H6" t="s">
        <v>28</v>
      </c>
      <c r="I6" t="s">
        <v>1023</v>
      </c>
      <c r="J6" t="s">
        <v>1084</v>
      </c>
      <c r="K6" t="s">
        <v>731</v>
      </c>
    </row>
    <row r="7" spans="1:11" x14ac:dyDescent="0.25">
      <c r="A7" t="s">
        <v>54</v>
      </c>
      <c r="B7" s="53" t="s">
        <v>27</v>
      </c>
      <c r="C7" s="12" t="s">
        <v>37</v>
      </c>
      <c r="D7" t="s">
        <v>41</v>
      </c>
      <c r="E7" t="s">
        <v>623</v>
      </c>
      <c r="F7" t="s">
        <v>36</v>
      </c>
      <c r="G7" t="s">
        <v>45</v>
      </c>
      <c r="H7" t="s">
        <v>29</v>
      </c>
      <c r="I7" t="s">
        <v>37</v>
      </c>
      <c r="J7" t="s">
        <v>37</v>
      </c>
      <c r="K7" t="s">
        <v>37</v>
      </c>
    </row>
    <row r="8" spans="1:11" x14ac:dyDescent="0.25">
      <c r="A8" s="53" t="s">
        <v>948</v>
      </c>
      <c r="B8" s="229"/>
      <c r="C8" s="228"/>
      <c r="D8" t="s">
        <v>42</v>
      </c>
      <c r="E8" s="230"/>
      <c r="F8" s="230"/>
      <c r="G8" s="230"/>
      <c r="H8" s="230"/>
      <c r="I8" t="s">
        <v>1024</v>
      </c>
      <c r="J8" t="s">
        <v>1085</v>
      </c>
      <c r="K8" t="s">
        <v>732</v>
      </c>
    </row>
    <row r="9" spans="1:11" x14ac:dyDescent="0.25">
      <c r="A9" t="s">
        <v>854</v>
      </c>
      <c r="B9" s="53" t="s">
        <v>855</v>
      </c>
      <c r="C9" s="228"/>
      <c r="D9" t="s">
        <v>853</v>
      </c>
      <c r="E9" s="230"/>
      <c r="F9" s="230"/>
      <c r="G9" s="230"/>
      <c r="H9" s="230"/>
      <c r="I9" t="s">
        <v>1025</v>
      </c>
      <c r="J9" t="s">
        <v>1086</v>
      </c>
      <c r="K9" t="s">
        <v>733</v>
      </c>
    </row>
    <row r="10" spans="1:11" x14ac:dyDescent="0.25">
      <c r="A10" t="s">
        <v>819</v>
      </c>
      <c r="B10" s="53" t="s">
        <v>820</v>
      </c>
      <c r="C10" s="12" t="s">
        <v>821</v>
      </c>
      <c r="D10" t="s">
        <v>822</v>
      </c>
      <c r="E10" t="s">
        <v>640</v>
      </c>
      <c r="F10" t="s">
        <v>662</v>
      </c>
      <c r="G10" s="227"/>
      <c r="H10" t="s">
        <v>700</v>
      </c>
      <c r="I10" t="s">
        <v>1026</v>
      </c>
      <c r="J10" t="s">
        <v>1087</v>
      </c>
      <c r="K10" t="s">
        <v>734</v>
      </c>
    </row>
    <row r="11" spans="1:11" x14ac:dyDescent="0.25">
      <c r="A11" t="s">
        <v>831</v>
      </c>
      <c r="B11" s="53" t="s">
        <v>832</v>
      </c>
      <c r="C11" s="12" t="s">
        <v>833</v>
      </c>
      <c r="D11" t="s">
        <v>834</v>
      </c>
      <c r="E11" t="s">
        <v>624</v>
      </c>
      <c r="F11" t="s">
        <v>644</v>
      </c>
      <c r="G11" s="227"/>
      <c r="H11" t="s">
        <v>701</v>
      </c>
      <c r="I11" t="s">
        <v>1027</v>
      </c>
      <c r="J11" t="s">
        <v>1088</v>
      </c>
      <c r="K11" t="s">
        <v>735</v>
      </c>
    </row>
    <row r="12" spans="1:11" x14ac:dyDescent="0.25">
      <c r="A12" t="s">
        <v>932</v>
      </c>
      <c r="B12" s="53" t="s">
        <v>934</v>
      </c>
      <c r="C12" s="12" t="s">
        <v>675</v>
      </c>
      <c r="D12" t="s">
        <v>929</v>
      </c>
      <c r="E12" t="s">
        <v>668</v>
      </c>
      <c r="F12" t="s">
        <v>674</v>
      </c>
      <c r="G12" t="s">
        <v>47</v>
      </c>
      <c r="H12" t="s">
        <v>702</v>
      </c>
      <c r="I12" t="s">
        <v>1028</v>
      </c>
      <c r="J12" t="s">
        <v>1089</v>
      </c>
      <c r="K12" t="s">
        <v>736</v>
      </c>
    </row>
    <row r="13" spans="1:11" x14ac:dyDescent="0.25">
      <c r="A13" t="s">
        <v>873</v>
      </c>
      <c r="B13" s="53" t="s">
        <v>615</v>
      </c>
      <c r="C13" s="12" t="s">
        <v>687</v>
      </c>
      <c r="D13" t="s">
        <v>590</v>
      </c>
      <c r="E13" t="s">
        <v>633</v>
      </c>
      <c r="F13" t="s">
        <v>655</v>
      </c>
      <c r="G13" t="s">
        <v>856</v>
      </c>
      <c r="H13" t="s">
        <v>717</v>
      </c>
      <c r="I13" t="s">
        <v>1029</v>
      </c>
      <c r="J13" s="53" t="s">
        <v>1090</v>
      </c>
      <c r="K13" t="s">
        <v>751</v>
      </c>
    </row>
    <row r="14" spans="1:11" x14ac:dyDescent="0.25">
      <c r="A14" t="s">
        <v>857</v>
      </c>
      <c r="B14" s="53" t="s">
        <v>858</v>
      </c>
      <c r="C14" s="12" t="s">
        <v>859</v>
      </c>
      <c r="D14" t="s">
        <v>894</v>
      </c>
      <c r="E14" t="s">
        <v>860</v>
      </c>
      <c r="F14" t="s">
        <v>861</v>
      </c>
      <c r="G14" s="227"/>
      <c r="H14" t="s">
        <v>862</v>
      </c>
      <c r="I14" t="s">
        <v>1030</v>
      </c>
      <c r="J14" s="53" t="s">
        <v>1100</v>
      </c>
      <c r="K14" t="s">
        <v>863</v>
      </c>
    </row>
    <row r="15" spans="1:11" x14ac:dyDescent="0.25">
      <c r="A15" t="s">
        <v>874</v>
      </c>
      <c r="B15" s="53" t="s">
        <v>875</v>
      </c>
      <c r="C15" s="12" t="s">
        <v>876</v>
      </c>
      <c r="D15" t="s">
        <v>877</v>
      </c>
      <c r="E15" t="s">
        <v>878</v>
      </c>
      <c r="F15" t="s">
        <v>879</v>
      </c>
      <c r="G15" t="s">
        <v>880</v>
      </c>
      <c r="H15" t="s">
        <v>881</v>
      </c>
      <c r="I15" t="s">
        <v>1031</v>
      </c>
      <c r="J15" s="53" t="s">
        <v>1092</v>
      </c>
      <c r="K15" t="s">
        <v>882</v>
      </c>
    </row>
    <row r="16" spans="1:11" x14ac:dyDescent="0.25">
      <c r="A16" t="s">
        <v>857</v>
      </c>
      <c r="B16" s="53" t="s">
        <v>935</v>
      </c>
      <c r="C16" s="12" t="s">
        <v>676</v>
      </c>
      <c r="D16" t="s">
        <v>930</v>
      </c>
      <c r="E16" t="s">
        <v>641</v>
      </c>
      <c r="F16" t="s">
        <v>645</v>
      </c>
      <c r="G16" s="227"/>
      <c r="H16" t="s">
        <v>703</v>
      </c>
      <c r="I16" t="s">
        <v>1030</v>
      </c>
      <c r="J16" s="53" t="s">
        <v>1091</v>
      </c>
      <c r="K16" t="s">
        <v>737</v>
      </c>
    </row>
    <row r="17" spans="1:11" x14ac:dyDescent="0.25">
      <c r="A17" t="s">
        <v>865</v>
      </c>
      <c r="B17" s="53" t="s">
        <v>866</v>
      </c>
      <c r="C17" s="12" t="s">
        <v>867</v>
      </c>
      <c r="D17" t="s">
        <v>868</v>
      </c>
      <c r="E17" t="s">
        <v>869</v>
      </c>
      <c r="F17" t="s">
        <v>870</v>
      </c>
      <c r="G17" s="227"/>
      <c r="H17" t="s">
        <v>871</v>
      </c>
      <c r="I17" t="s">
        <v>1032</v>
      </c>
      <c r="J17" s="53" t="s">
        <v>1093</v>
      </c>
      <c r="K17" t="s">
        <v>872</v>
      </c>
    </row>
    <row r="18" spans="1:11" x14ac:dyDescent="0.25">
      <c r="A18" t="s">
        <v>421</v>
      </c>
      <c r="B18" s="53" t="s">
        <v>602</v>
      </c>
      <c r="C18" s="12" t="s">
        <v>677</v>
      </c>
      <c r="D18" t="s">
        <v>581</v>
      </c>
      <c r="E18" t="s">
        <v>625</v>
      </c>
      <c r="F18" t="s">
        <v>646</v>
      </c>
      <c r="G18" s="227"/>
      <c r="H18" t="s">
        <v>704</v>
      </c>
      <c r="I18" t="s">
        <v>1033</v>
      </c>
      <c r="J18" s="53" t="s">
        <v>1094</v>
      </c>
      <c r="K18" t="s">
        <v>738</v>
      </c>
    </row>
    <row r="19" spans="1:11" x14ac:dyDescent="0.25">
      <c r="A19" t="s">
        <v>422</v>
      </c>
      <c r="B19" s="53" t="s">
        <v>603</v>
      </c>
      <c r="C19" s="53" t="s">
        <v>678</v>
      </c>
      <c r="D19" t="s">
        <v>760</v>
      </c>
      <c r="E19" t="s">
        <v>663</v>
      </c>
      <c r="F19" t="s">
        <v>664</v>
      </c>
      <c r="G19" s="227"/>
      <c r="H19" t="s">
        <v>705</v>
      </c>
      <c r="I19" t="s">
        <v>1034</v>
      </c>
      <c r="J19" s="53" t="s">
        <v>1137</v>
      </c>
      <c r="K19" t="s">
        <v>739</v>
      </c>
    </row>
    <row r="20" spans="1:11" x14ac:dyDescent="0.25">
      <c r="A20" t="s">
        <v>864</v>
      </c>
      <c r="B20" s="53" t="s">
        <v>888</v>
      </c>
      <c r="C20" s="12" t="s">
        <v>889</v>
      </c>
      <c r="D20" t="s">
        <v>887</v>
      </c>
      <c r="E20" t="s">
        <v>890</v>
      </c>
      <c r="F20" t="s">
        <v>891</v>
      </c>
      <c r="G20" s="227"/>
      <c r="H20" t="s">
        <v>892</v>
      </c>
      <c r="I20" t="s">
        <v>1035</v>
      </c>
      <c r="J20" s="53" t="s">
        <v>1095</v>
      </c>
      <c r="K20" t="s">
        <v>893</v>
      </c>
    </row>
    <row r="21" spans="1:11" x14ac:dyDescent="0.25">
      <c r="A21" s="46" t="s">
        <v>598</v>
      </c>
      <c r="B21" s="53" t="s">
        <v>604</v>
      </c>
      <c r="C21" s="12" t="s">
        <v>679</v>
      </c>
      <c r="D21" t="s">
        <v>582</v>
      </c>
      <c r="E21" t="s">
        <v>669</v>
      </c>
      <c r="F21" s="53" t="s">
        <v>647</v>
      </c>
      <c r="G21" s="227"/>
      <c r="H21" t="s">
        <v>706</v>
      </c>
      <c r="I21" t="s">
        <v>1036</v>
      </c>
      <c r="J21" t="s">
        <v>1096</v>
      </c>
      <c r="K21" s="53" t="s">
        <v>740</v>
      </c>
    </row>
    <row r="22" spans="1:11" x14ac:dyDescent="0.25">
      <c r="A22" t="s">
        <v>595</v>
      </c>
      <c r="B22" s="53" t="s">
        <v>605</v>
      </c>
      <c r="C22" s="12" t="s">
        <v>693</v>
      </c>
      <c r="D22" t="s">
        <v>665</v>
      </c>
      <c r="E22" t="s">
        <v>670</v>
      </c>
      <c r="F22" t="s">
        <v>694</v>
      </c>
      <c r="G22" s="227"/>
      <c r="H22" t="s">
        <v>707</v>
      </c>
      <c r="I22" t="s">
        <v>1037</v>
      </c>
      <c r="J22" t="s">
        <v>1097</v>
      </c>
      <c r="K22" t="s">
        <v>741</v>
      </c>
    </row>
    <row r="23" spans="1:11" x14ac:dyDescent="0.25">
      <c r="A23" t="s">
        <v>599</v>
      </c>
      <c r="B23" s="53" t="s">
        <v>606</v>
      </c>
      <c r="C23" s="12" t="s">
        <v>695</v>
      </c>
      <c r="D23" t="s">
        <v>666</v>
      </c>
      <c r="E23" t="s">
        <v>671</v>
      </c>
      <c r="F23" t="s">
        <v>696</v>
      </c>
      <c r="G23" s="227"/>
      <c r="H23" t="s">
        <v>708</v>
      </c>
      <c r="I23" t="s">
        <v>1038</v>
      </c>
      <c r="J23" t="s">
        <v>1098</v>
      </c>
      <c r="K23" t="s">
        <v>742</v>
      </c>
    </row>
    <row r="24" spans="1:11" x14ac:dyDescent="0.25">
      <c r="A24" t="s">
        <v>455</v>
      </c>
      <c r="B24" s="53" t="s">
        <v>607</v>
      </c>
      <c r="C24" s="12" t="s">
        <v>680</v>
      </c>
      <c r="D24" t="s">
        <v>583</v>
      </c>
      <c r="E24" t="s">
        <v>626</v>
      </c>
      <c r="F24" t="s">
        <v>648</v>
      </c>
      <c r="G24" s="227"/>
      <c r="H24" t="s">
        <v>709</v>
      </c>
      <c r="I24" t="s">
        <v>1039</v>
      </c>
      <c r="J24" t="s">
        <v>1099</v>
      </c>
      <c r="K24" t="s">
        <v>743</v>
      </c>
    </row>
    <row r="25" spans="1:11" x14ac:dyDescent="0.25">
      <c r="A25" t="s">
        <v>413</v>
      </c>
      <c r="B25" s="53" t="s">
        <v>608</v>
      </c>
      <c r="C25" s="12" t="s">
        <v>681</v>
      </c>
      <c r="D25" t="s">
        <v>584</v>
      </c>
      <c r="E25" t="s">
        <v>627</v>
      </c>
      <c r="F25" t="s">
        <v>649</v>
      </c>
      <c r="G25" s="227"/>
      <c r="H25" t="s">
        <v>710</v>
      </c>
      <c r="I25" t="s">
        <v>1040</v>
      </c>
      <c r="J25" t="s">
        <v>1089</v>
      </c>
      <c r="K25" t="s">
        <v>744</v>
      </c>
    </row>
    <row r="26" spans="1:11" x14ac:dyDescent="0.25">
      <c r="A26" t="s">
        <v>414</v>
      </c>
      <c r="B26" s="53" t="s">
        <v>609</v>
      </c>
      <c r="C26" s="12" t="s">
        <v>682</v>
      </c>
      <c r="D26" t="s">
        <v>585</v>
      </c>
      <c r="E26" t="s">
        <v>628</v>
      </c>
      <c r="F26" t="s">
        <v>650</v>
      </c>
      <c r="G26" s="227"/>
      <c r="H26" t="s">
        <v>711</v>
      </c>
      <c r="I26" t="s">
        <v>1041</v>
      </c>
      <c r="J26" t="s">
        <v>1100</v>
      </c>
      <c r="K26" t="s">
        <v>745</v>
      </c>
    </row>
    <row r="27" spans="1:11" x14ac:dyDescent="0.25">
      <c r="A27" t="s">
        <v>596</v>
      </c>
      <c r="B27" s="53" t="s">
        <v>610</v>
      </c>
      <c r="C27" s="12" t="s">
        <v>683</v>
      </c>
      <c r="D27" t="s">
        <v>667</v>
      </c>
      <c r="E27" t="s">
        <v>672</v>
      </c>
      <c r="F27" t="s">
        <v>726</v>
      </c>
      <c r="G27" s="227"/>
      <c r="H27" t="s">
        <v>712</v>
      </c>
      <c r="I27" t="s">
        <v>1042</v>
      </c>
      <c r="J27" t="s">
        <v>1101</v>
      </c>
      <c r="K27" t="s">
        <v>746</v>
      </c>
    </row>
    <row r="28" spans="1:11" x14ac:dyDescent="0.25">
      <c r="A28" t="s">
        <v>458</v>
      </c>
      <c r="B28" s="53" t="s">
        <v>611</v>
      </c>
      <c r="C28" s="12" t="s">
        <v>586</v>
      </c>
      <c r="D28" t="s">
        <v>586</v>
      </c>
      <c r="E28" t="s">
        <v>629</v>
      </c>
      <c r="F28" t="s">
        <v>651</v>
      </c>
      <c r="G28" s="227"/>
      <c r="H28" t="s">
        <v>713</v>
      </c>
      <c r="I28" t="s">
        <v>651</v>
      </c>
      <c r="J28" t="s">
        <v>1102</v>
      </c>
      <c r="K28" t="s">
        <v>747</v>
      </c>
    </row>
    <row r="29" spans="1:11" x14ac:dyDescent="0.25">
      <c r="A29" t="s">
        <v>456</v>
      </c>
      <c r="B29" s="53" t="s">
        <v>612</v>
      </c>
      <c r="C29" s="12" t="s">
        <v>684</v>
      </c>
      <c r="D29" t="s">
        <v>587</v>
      </c>
      <c r="E29" t="s">
        <v>630</v>
      </c>
      <c r="F29" t="s">
        <v>652</v>
      </c>
      <c r="G29" s="227"/>
      <c r="H29" t="s">
        <v>714</v>
      </c>
      <c r="I29" t="s">
        <v>1043</v>
      </c>
      <c r="J29" t="s">
        <v>1103</v>
      </c>
      <c r="K29" t="s">
        <v>748</v>
      </c>
    </row>
    <row r="30" spans="1:11" x14ac:dyDescent="0.25">
      <c r="A30" t="s">
        <v>457</v>
      </c>
      <c r="B30" s="53" t="s">
        <v>613</v>
      </c>
      <c r="C30" s="12" t="s">
        <v>685</v>
      </c>
      <c r="D30" t="s">
        <v>588</v>
      </c>
      <c r="E30" t="s">
        <v>631</v>
      </c>
      <c r="F30" t="s">
        <v>653</v>
      </c>
      <c r="G30" s="227"/>
      <c r="H30" t="s">
        <v>715</v>
      </c>
      <c r="I30" t="s">
        <v>1044</v>
      </c>
      <c r="J30" t="s">
        <v>1104</v>
      </c>
      <c r="K30" t="s">
        <v>749</v>
      </c>
    </row>
    <row r="31" spans="1:11" x14ac:dyDescent="0.25">
      <c r="A31" t="s">
        <v>597</v>
      </c>
      <c r="B31" s="53" t="s">
        <v>614</v>
      </c>
      <c r="C31" s="12" t="s">
        <v>686</v>
      </c>
      <c r="D31" t="s">
        <v>589</v>
      </c>
      <c r="E31" t="s">
        <v>632</v>
      </c>
      <c r="F31" t="s">
        <v>654</v>
      </c>
      <c r="G31" s="227"/>
      <c r="H31" t="s">
        <v>716</v>
      </c>
      <c r="I31" t="s">
        <v>1045</v>
      </c>
      <c r="J31" t="s">
        <v>1105</v>
      </c>
      <c r="K31" t="s">
        <v>750</v>
      </c>
    </row>
    <row r="32" spans="1:11" x14ac:dyDescent="0.25">
      <c r="A32" t="s">
        <v>899</v>
      </c>
      <c r="B32" s="53" t="s">
        <v>900</v>
      </c>
      <c r="C32" s="12" t="s">
        <v>901</v>
      </c>
      <c r="D32" t="s">
        <v>902</v>
      </c>
      <c r="E32" t="s">
        <v>903</v>
      </c>
      <c r="F32" t="s">
        <v>904</v>
      </c>
      <c r="G32" s="227"/>
      <c r="H32" t="s">
        <v>905</v>
      </c>
      <c r="I32" t="s">
        <v>1046</v>
      </c>
      <c r="J32" t="s">
        <v>1106</v>
      </c>
      <c r="K32" s="53" t="s">
        <v>906</v>
      </c>
    </row>
    <row r="33" spans="1:11" x14ac:dyDescent="0.25">
      <c r="A33" t="s">
        <v>812</v>
      </c>
      <c r="B33" s="53" t="s">
        <v>813</v>
      </c>
      <c r="C33" s="12" t="s">
        <v>814</v>
      </c>
      <c r="D33" t="s">
        <v>811</v>
      </c>
      <c r="E33" t="s">
        <v>815</v>
      </c>
      <c r="F33" t="s">
        <v>816</v>
      </c>
      <c r="G33" s="227"/>
      <c r="H33" t="s">
        <v>817</v>
      </c>
      <c r="I33" t="s">
        <v>1047</v>
      </c>
      <c r="J33" t="s">
        <v>1107</v>
      </c>
      <c r="K33" s="53" t="s">
        <v>818</v>
      </c>
    </row>
    <row r="34" spans="1:11" x14ac:dyDescent="0.25">
      <c r="A34" t="s">
        <v>501</v>
      </c>
      <c r="B34" s="53" t="s">
        <v>615</v>
      </c>
      <c r="C34" s="12" t="s">
        <v>687</v>
      </c>
      <c r="D34" t="s">
        <v>590</v>
      </c>
      <c r="E34" t="s">
        <v>633</v>
      </c>
      <c r="F34" t="s">
        <v>655</v>
      </c>
      <c r="G34" s="227"/>
      <c r="H34" t="s">
        <v>717</v>
      </c>
      <c r="I34" t="s">
        <v>1048</v>
      </c>
      <c r="J34" t="s">
        <v>1090</v>
      </c>
      <c r="K34" t="s">
        <v>751</v>
      </c>
    </row>
    <row r="35" spans="1:11" x14ac:dyDescent="0.25">
      <c r="A35" t="s">
        <v>933</v>
      </c>
      <c r="B35" s="53" t="s">
        <v>936</v>
      </c>
      <c r="C35" s="12" t="s">
        <v>697</v>
      </c>
      <c r="D35" t="s">
        <v>931</v>
      </c>
      <c r="E35" t="s">
        <v>673</v>
      </c>
      <c r="F35" t="s">
        <v>656</v>
      </c>
      <c r="G35" s="227"/>
      <c r="H35" t="s">
        <v>718</v>
      </c>
      <c r="I35" t="s">
        <v>1049</v>
      </c>
      <c r="J35" t="s">
        <v>1095</v>
      </c>
      <c r="K35" t="s">
        <v>752</v>
      </c>
    </row>
    <row r="36" spans="1:11" x14ac:dyDescent="0.25">
      <c r="A36" t="s">
        <v>502</v>
      </c>
      <c r="B36" s="53" t="s">
        <v>616</v>
      </c>
      <c r="C36" s="12" t="s">
        <v>688</v>
      </c>
      <c r="D36" t="s">
        <v>591</v>
      </c>
      <c r="E36" t="s">
        <v>634</v>
      </c>
      <c r="F36" t="s">
        <v>657</v>
      </c>
      <c r="G36" s="227"/>
      <c r="H36" t="s">
        <v>719</v>
      </c>
      <c r="I36" t="s">
        <v>1050</v>
      </c>
      <c r="J36" t="s">
        <v>1108</v>
      </c>
      <c r="K36" t="s">
        <v>753</v>
      </c>
    </row>
    <row r="37" spans="1:11" x14ac:dyDescent="0.25">
      <c r="A37" t="s">
        <v>907</v>
      </c>
      <c r="B37" s="53" t="s">
        <v>908</v>
      </c>
      <c r="C37" s="12" t="s">
        <v>909</v>
      </c>
      <c r="D37" t="s">
        <v>910</v>
      </c>
      <c r="E37" t="s">
        <v>911</v>
      </c>
      <c r="F37" t="s">
        <v>912</v>
      </c>
      <c r="G37" s="227"/>
      <c r="H37" t="s">
        <v>913</v>
      </c>
      <c r="I37" t="s">
        <v>1051</v>
      </c>
      <c r="J37" t="s">
        <v>1109</v>
      </c>
      <c r="K37" s="53" t="s">
        <v>914</v>
      </c>
    </row>
    <row r="38" spans="1:11" x14ac:dyDescent="0.25">
      <c r="A38" t="s">
        <v>514</v>
      </c>
      <c r="B38" s="53" t="s">
        <v>617</v>
      </c>
      <c r="C38" s="12" t="s">
        <v>689</v>
      </c>
      <c r="D38" t="s">
        <v>592</v>
      </c>
      <c r="E38" t="s">
        <v>635</v>
      </c>
      <c r="F38" t="s">
        <v>658</v>
      </c>
      <c r="G38" s="227"/>
      <c r="H38" t="s">
        <v>720</v>
      </c>
      <c r="I38" t="s">
        <v>1052</v>
      </c>
      <c r="J38" t="s">
        <v>1110</v>
      </c>
      <c r="K38" t="s">
        <v>754</v>
      </c>
    </row>
    <row r="39" spans="1:11" x14ac:dyDescent="0.25">
      <c r="A39" t="s">
        <v>515</v>
      </c>
      <c r="B39" s="53" t="s">
        <v>618</v>
      </c>
      <c r="C39" s="12" t="s">
        <v>690</v>
      </c>
      <c r="D39" t="s">
        <v>593</v>
      </c>
      <c r="E39" t="s">
        <v>636</v>
      </c>
      <c r="F39" t="s">
        <v>659</v>
      </c>
      <c r="G39" s="227"/>
      <c r="H39" t="s">
        <v>721</v>
      </c>
      <c r="I39" t="s">
        <v>1053</v>
      </c>
      <c r="J39" t="s">
        <v>1111</v>
      </c>
      <c r="K39" t="s">
        <v>755</v>
      </c>
    </row>
    <row r="40" spans="1:11" x14ac:dyDescent="0.25">
      <c r="A40" t="s">
        <v>580</v>
      </c>
      <c r="B40" s="53" t="s">
        <v>619</v>
      </c>
      <c r="C40" s="12" t="s">
        <v>691</v>
      </c>
      <c r="D40" t="s">
        <v>594</v>
      </c>
      <c r="E40" t="s">
        <v>637</v>
      </c>
      <c r="F40" t="s">
        <v>660</v>
      </c>
      <c r="G40" s="227"/>
      <c r="H40" t="s">
        <v>722</v>
      </c>
      <c r="I40" t="s">
        <v>1054</v>
      </c>
      <c r="J40" t="s">
        <v>1112</v>
      </c>
      <c r="K40" t="s">
        <v>756</v>
      </c>
    </row>
    <row r="41" spans="1:11" x14ac:dyDescent="0.25">
      <c r="A41" t="s">
        <v>600</v>
      </c>
      <c r="B41" s="53" t="s">
        <v>620</v>
      </c>
      <c r="C41" s="12" t="s">
        <v>692</v>
      </c>
      <c r="D41" t="s">
        <v>759</v>
      </c>
      <c r="E41" t="s">
        <v>638</v>
      </c>
      <c r="F41" t="s">
        <v>661</v>
      </c>
      <c r="G41" s="227"/>
      <c r="H41" t="s">
        <v>723</v>
      </c>
      <c r="I41" t="s">
        <v>1055</v>
      </c>
      <c r="J41" t="s">
        <v>1113</v>
      </c>
      <c r="K41" t="s">
        <v>620</v>
      </c>
    </row>
    <row r="42" spans="1:11" x14ac:dyDescent="0.25">
      <c r="A42" t="s">
        <v>835</v>
      </c>
      <c r="B42" s="53" t="s">
        <v>836</v>
      </c>
      <c r="C42" s="12" t="s">
        <v>837</v>
      </c>
      <c r="D42" t="s">
        <v>838</v>
      </c>
      <c r="E42" t="s">
        <v>839</v>
      </c>
      <c r="F42" t="s">
        <v>840</v>
      </c>
      <c r="G42" s="227"/>
      <c r="H42" t="s">
        <v>724</v>
      </c>
      <c r="I42" t="s">
        <v>1056</v>
      </c>
      <c r="J42" t="s">
        <v>1114</v>
      </c>
      <c r="K42" t="s">
        <v>757</v>
      </c>
    </row>
    <row r="43" spans="1:11" x14ac:dyDescent="0.25">
      <c r="A43" t="s">
        <v>55</v>
      </c>
      <c r="B43" s="53" t="s">
        <v>56</v>
      </c>
      <c r="C43" t="s">
        <v>58</v>
      </c>
      <c r="D43" t="s">
        <v>57</v>
      </c>
      <c r="E43" t="s">
        <v>59</v>
      </c>
      <c r="F43" t="s">
        <v>60</v>
      </c>
      <c r="G43" t="s">
        <v>61</v>
      </c>
      <c r="H43" t="s">
        <v>725</v>
      </c>
      <c r="I43" t="s">
        <v>1057</v>
      </c>
      <c r="J43" t="s">
        <v>1115</v>
      </c>
      <c r="K43" t="s">
        <v>758</v>
      </c>
    </row>
    <row r="44" spans="1:11" x14ac:dyDescent="0.25">
      <c r="A44" t="s">
        <v>762</v>
      </c>
      <c r="B44" s="53" t="s">
        <v>767</v>
      </c>
      <c r="C44" t="s">
        <v>768</v>
      </c>
      <c r="D44" t="s">
        <v>764</v>
      </c>
      <c r="E44" t="s">
        <v>768</v>
      </c>
      <c r="F44" t="s">
        <v>771</v>
      </c>
      <c r="G44" s="230"/>
      <c r="H44" s="230"/>
      <c r="I44" t="s">
        <v>1058</v>
      </c>
      <c r="J44" t="s">
        <v>1003</v>
      </c>
      <c r="K44" t="s">
        <v>1003</v>
      </c>
    </row>
    <row r="45" spans="1:11" x14ac:dyDescent="0.25">
      <c r="A45" t="s">
        <v>763</v>
      </c>
      <c r="B45" t="s">
        <v>766</v>
      </c>
      <c r="C45" t="s">
        <v>769</v>
      </c>
      <c r="D45" t="s">
        <v>765</v>
      </c>
      <c r="E45" t="s">
        <v>770</v>
      </c>
      <c r="F45" t="s">
        <v>772</v>
      </c>
      <c r="G45" s="230"/>
      <c r="H45" s="230"/>
      <c r="I45" t="s">
        <v>1059</v>
      </c>
      <c r="J45" t="s">
        <v>1116</v>
      </c>
      <c r="K45" t="s">
        <v>1004</v>
      </c>
    </row>
    <row r="46" spans="1:11" x14ac:dyDescent="0.25">
      <c r="A46" t="s">
        <v>843</v>
      </c>
      <c r="B46" s="53" t="s">
        <v>842</v>
      </c>
      <c r="C46" s="227"/>
      <c r="D46" t="s">
        <v>841</v>
      </c>
      <c r="E46" s="227"/>
      <c r="F46" s="227"/>
      <c r="G46" s="227"/>
      <c r="H46" s="227"/>
      <c r="I46" t="s">
        <v>1060</v>
      </c>
      <c r="J46" t="s">
        <v>1117</v>
      </c>
      <c r="K46" t="s">
        <v>1005</v>
      </c>
    </row>
    <row r="47" spans="1:11" s="53" customFormat="1" x14ac:dyDescent="0.25">
      <c r="A47" s="53" t="s">
        <v>885</v>
      </c>
      <c r="B47" s="53" t="s">
        <v>928</v>
      </c>
      <c r="C47" s="228"/>
      <c r="D47" s="53" t="s">
        <v>886</v>
      </c>
      <c r="E47" s="230"/>
      <c r="F47" s="230"/>
      <c r="G47" s="230"/>
      <c r="H47" s="230"/>
      <c r="I47" t="s">
        <v>1061</v>
      </c>
      <c r="J47" t="s">
        <v>1118</v>
      </c>
      <c r="K47" t="s">
        <v>1006</v>
      </c>
    </row>
    <row r="48" spans="1:11" x14ac:dyDescent="0.25">
      <c r="A48" t="s">
        <v>883</v>
      </c>
      <c r="B48" s="53" t="s">
        <v>922</v>
      </c>
      <c r="C48" s="227"/>
      <c r="D48" t="s">
        <v>884</v>
      </c>
      <c r="E48" s="227"/>
      <c r="F48" s="227"/>
      <c r="G48" s="227"/>
      <c r="H48" s="227"/>
      <c r="I48" t="s">
        <v>1062</v>
      </c>
      <c r="J48" t="s">
        <v>1119</v>
      </c>
      <c r="K48" t="s">
        <v>1007</v>
      </c>
    </row>
    <row r="49" spans="1:11" x14ac:dyDescent="0.25">
      <c r="A49" t="s">
        <v>895</v>
      </c>
      <c r="B49" s="53" t="s">
        <v>923</v>
      </c>
      <c r="C49" s="227"/>
      <c r="D49" t="s">
        <v>915</v>
      </c>
      <c r="E49" s="227"/>
      <c r="F49" s="227"/>
      <c r="G49" s="227"/>
      <c r="H49" s="227"/>
      <c r="I49" t="s">
        <v>1063</v>
      </c>
      <c r="J49" t="s">
        <v>1120</v>
      </c>
      <c r="K49" t="s">
        <v>1008</v>
      </c>
    </row>
    <row r="50" spans="1:11" x14ac:dyDescent="0.25">
      <c r="A50" t="s">
        <v>924</v>
      </c>
      <c r="B50" s="53" t="s">
        <v>925</v>
      </c>
      <c r="C50" s="227"/>
      <c r="D50" t="s">
        <v>916</v>
      </c>
      <c r="E50" s="227"/>
      <c r="F50" s="227"/>
      <c r="G50" s="227"/>
      <c r="H50" s="227"/>
      <c r="I50" t="s">
        <v>1064</v>
      </c>
      <c r="J50" t="s">
        <v>1121</v>
      </c>
      <c r="K50" t="s">
        <v>1009</v>
      </c>
    </row>
    <row r="51" spans="1:11" x14ac:dyDescent="0.25">
      <c r="A51" t="s">
        <v>919</v>
      </c>
      <c r="B51" s="53" t="s">
        <v>926</v>
      </c>
      <c r="C51" s="227"/>
      <c r="D51" t="s">
        <v>917</v>
      </c>
      <c r="E51" s="227"/>
      <c r="F51" s="227"/>
      <c r="G51" s="227"/>
      <c r="H51" s="227"/>
      <c r="I51" t="s">
        <v>1065</v>
      </c>
      <c r="J51" t="s">
        <v>1122</v>
      </c>
      <c r="K51" t="s">
        <v>1010</v>
      </c>
    </row>
    <row r="52" spans="1:11" x14ac:dyDescent="0.25">
      <c r="A52" t="s">
        <v>920</v>
      </c>
      <c r="B52" s="53" t="s">
        <v>927</v>
      </c>
      <c r="C52" s="227"/>
      <c r="D52" t="s">
        <v>918</v>
      </c>
      <c r="E52" s="227"/>
      <c r="F52" s="227"/>
      <c r="G52" s="227"/>
      <c r="H52" s="227"/>
      <c r="I52" t="s">
        <v>1066</v>
      </c>
      <c r="J52" t="s">
        <v>1123</v>
      </c>
      <c r="K52" t="s">
        <v>1011</v>
      </c>
    </row>
    <row r="53" spans="1:11" x14ac:dyDescent="0.25">
      <c r="A53" t="s">
        <v>937</v>
      </c>
      <c r="B53" s="53" t="s">
        <v>938</v>
      </c>
      <c r="C53" s="227"/>
      <c r="D53" t="s">
        <v>939</v>
      </c>
      <c r="E53" s="227"/>
      <c r="F53" s="227"/>
      <c r="G53" s="227"/>
      <c r="H53" s="227"/>
      <c r="I53" t="s">
        <v>1067</v>
      </c>
      <c r="J53" t="s">
        <v>1124</v>
      </c>
      <c r="K53" t="s">
        <v>1012</v>
      </c>
    </row>
    <row r="54" spans="1:11" x14ac:dyDescent="0.25">
      <c r="A54" t="s">
        <v>942</v>
      </c>
      <c r="B54" s="227"/>
      <c r="C54" s="227"/>
      <c r="D54" t="s">
        <v>944</v>
      </c>
      <c r="E54" s="227"/>
      <c r="F54" s="227"/>
      <c r="G54" s="227"/>
      <c r="H54" s="227"/>
      <c r="I54" t="s">
        <v>1068</v>
      </c>
      <c r="J54" s="53" t="s">
        <v>1125</v>
      </c>
      <c r="K54" t="s">
        <v>1013</v>
      </c>
    </row>
    <row r="55" spans="1:11" x14ac:dyDescent="0.25">
      <c r="A55" t="s">
        <v>943</v>
      </c>
      <c r="B55" s="227"/>
      <c r="C55" s="227"/>
      <c r="D55" t="s">
        <v>945</v>
      </c>
      <c r="E55" s="227"/>
      <c r="F55" s="227"/>
      <c r="G55" s="227"/>
      <c r="H55" s="227"/>
      <c r="I55" t="s">
        <v>1069</v>
      </c>
      <c r="J55" s="53" t="s">
        <v>1126</v>
      </c>
      <c r="K55" t="s">
        <v>1014</v>
      </c>
    </row>
    <row r="56" spans="1:11" s="53" customFormat="1" x14ac:dyDescent="0.25">
      <c r="A56" s="53" t="s">
        <v>35</v>
      </c>
      <c r="B56" s="53" t="s">
        <v>949</v>
      </c>
      <c r="C56" s="172" t="s">
        <v>50</v>
      </c>
      <c r="D56" s="53" t="s">
        <v>950</v>
      </c>
      <c r="E56" s="53" t="s">
        <v>38</v>
      </c>
      <c r="F56" s="53" t="s">
        <v>35</v>
      </c>
      <c r="G56" s="53" t="s">
        <v>46</v>
      </c>
      <c r="H56" s="53" t="s">
        <v>30</v>
      </c>
      <c r="I56" t="s">
        <v>35</v>
      </c>
      <c r="J56" s="53" t="s">
        <v>35</v>
      </c>
      <c r="K56" t="s">
        <v>1015</v>
      </c>
    </row>
    <row r="57" spans="1:11" x14ac:dyDescent="0.25">
      <c r="A57" t="s">
        <v>954</v>
      </c>
      <c r="B57" s="53" t="s">
        <v>955</v>
      </c>
      <c r="C57" s="227"/>
      <c r="D57" t="s">
        <v>953</v>
      </c>
      <c r="E57" s="227"/>
      <c r="F57" s="227"/>
      <c r="G57" s="227"/>
      <c r="H57" s="227"/>
      <c r="I57" t="s">
        <v>1070</v>
      </c>
      <c r="J57" s="53" t="s">
        <v>1138</v>
      </c>
      <c r="K57" t="s">
        <v>1016</v>
      </c>
    </row>
    <row r="58" spans="1:11" x14ac:dyDescent="0.25">
      <c r="A58" t="s">
        <v>958</v>
      </c>
      <c r="B58" s="53" t="s">
        <v>959</v>
      </c>
      <c r="C58" s="227"/>
      <c r="D58" t="s">
        <v>957</v>
      </c>
      <c r="E58" s="227"/>
      <c r="F58" s="227"/>
      <c r="G58" s="227"/>
      <c r="H58" s="227"/>
      <c r="I58" t="s">
        <v>1071</v>
      </c>
      <c r="J58" s="53" t="s">
        <v>1127</v>
      </c>
      <c r="K58" t="s">
        <v>1017</v>
      </c>
    </row>
    <row r="59" spans="1:11" ht="15" customHeight="1" x14ac:dyDescent="0.25">
      <c r="A59" s="46" t="s">
        <v>952</v>
      </c>
      <c r="B59" s="46" t="s">
        <v>805</v>
      </c>
      <c r="C59" s="227"/>
      <c r="D59" s="46" t="s">
        <v>804</v>
      </c>
      <c r="E59" s="227"/>
      <c r="F59" s="227"/>
      <c r="G59" s="227"/>
      <c r="H59" s="227"/>
      <c r="I59" s="231" t="s">
        <v>1078</v>
      </c>
      <c r="J59" s="233" t="s">
        <v>1134</v>
      </c>
      <c r="K59" s="232" t="s">
        <v>1079</v>
      </c>
    </row>
    <row r="60" spans="1:11" ht="15" customHeight="1" x14ac:dyDescent="0.25">
      <c r="A60" t="s">
        <v>789</v>
      </c>
      <c r="B60" t="s">
        <v>793</v>
      </c>
      <c r="C60" s="227"/>
      <c r="D60" t="s">
        <v>791</v>
      </c>
      <c r="E60" s="227"/>
      <c r="F60" s="227"/>
      <c r="G60" s="227"/>
      <c r="H60" s="227"/>
      <c r="I60" t="s">
        <v>1072</v>
      </c>
      <c r="J60" s="231" t="s">
        <v>1128</v>
      </c>
      <c r="K60" s="223" t="s">
        <v>1018</v>
      </c>
    </row>
    <row r="61" spans="1:11" x14ac:dyDescent="0.25">
      <c r="A61" t="s">
        <v>788</v>
      </c>
      <c r="B61" t="s">
        <v>792</v>
      </c>
      <c r="C61" s="227"/>
      <c r="D61" t="s">
        <v>799</v>
      </c>
      <c r="E61" s="227"/>
      <c r="F61" s="227"/>
      <c r="G61" s="227"/>
      <c r="H61" s="227"/>
      <c r="I61" t="s">
        <v>1073</v>
      </c>
      <c r="J61" t="s">
        <v>1129</v>
      </c>
      <c r="K61" s="223" t="s">
        <v>1019</v>
      </c>
    </row>
    <row r="62" spans="1:11" x14ac:dyDescent="0.25">
      <c r="A62" t="s">
        <v>790</v>
      </c>
      <c r="B62" t="s">
        <v>794</v>
      </c>
      <c r="C62" s="227"/>
      <c r="D62" t="s">
        <v>795</v>
      </c>
      <c r="E62" s="227"/>
      <c r="F62" s="227"/>
      <c r="G62" s="227"/>
      <c r="H62" s="227"/>
      <c r="I62" t="s">
        <v>1074</v>
      </c>
      <c r="J62" t="s">
        <v>1130</v>
      </c>
    </row>
    <row r="63" spans="1:11" x14ac:dyDescent="0.25">
      <c r="A63" t="s">
        <v>796</v>
      </c>
      <c r="B63" t="s">
        <v>797</v>
      </c>
      <c r="C63" s="227"/>
      <c r="D63" t="s">
        <v>798</v>
      </c>
      <c r="E63" s="227"/>
      <c r="F63" s="227"/>
      <c r="G63" s="227"/>
      <c r="H63" s="227"/>
      <c r="I63" s="224" t="s">
        <v>1136</v>
      </c>
      <c r="J63" t="s">
        <v>1131</v>
      </c>
      <c r="K63" t="s">
        <v>1001</v>
      </c>
    </row>
    <row r="64" spans="1:11" x14ac:dyDescent="0.25">
      <c r="A64" t="s">
        <v>801</v>
      </c>
      <c r="B64" t="s">
        <v>802</v>
      </c>
      <c r="C64" s="227"/>
      <c r="D64" t="s">
        <v>800</v>
      </c>
      <c r="E64" s="227"/>
      <c r="F64" s="227"/>
      <c r="G64" s="227"/>
      <c r="H64" s="227"/>
      <c r="I64" t="s">
        <v>1075</v>
      </c>
      <c r="J64" s="224" t="s">
        <v>1132</v>
      </c>
    </row>
    <row r="65" spans="1:11" x14ac:dyDescent="0.25">
      <c r="A65" t="s">
        <v>808</v>
      </c>
      <c r="B65" t="s">
        <v>807</v>
      </c>
      <c r="C65" s="227"/>
      <c r="D65" t="s">
        <v>806</v>
      </c>
      <c r="E65" s="227"/>
      <c r="F65" s="227"/>
      <c r="G65" s="227"/>
      <c r="H65" s="227"/>
      <c r="I65" t="s">
        <v>1076</v>
      </c>
      <c r="J65" t="s">
        <v>1133</v>
      </c>
      <c r="K65" t="s">
        <v>1002</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6"/>
  <sheetViews>
    <sheetView topLeftCell="A4" zoomScale="55" zoomScaleNormal="55" workbookViewId="0">
      <selection activeCell="I6" sqref="I6"/>
    </sheetView>
  </sheetViews>
  <sheetFormatPr defaultColWidth="11.42578125" defaultRowHeight="15" x14ac:dyDescent="0.25"/>
  <cols>
    <col min="1" max="3" width="51.28515625" style="53" customWidth="1"/>
    <col min="4" max="4" width="51.42578125" style="53" customWidth="1"/>
    <col min="5" max="5" width="49.7109375" style="53" customWidth="1"/>
    <col min="6" max="16384" width="11.42578125" style="53"/>
  </cols>
  <sheetData>
    <row r="1" ht="139.5" customHeight="1" x14ac:dyDescent="0.25"/>
    <row r="2" ht="159.75" customHeight="1" x14ac:dyDescent="0.25"/>
    <row r="4" ht="409.5" customHeight="1" x14ac:dyDescent="0.25"/>
    <row r="5" ht="164.25" customHeight="1" x14ac:dyDescent="0.25"/>
    <row r="6" ht="360" customHeight="1" x14ac:dyDescent="0.25"/>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260"/>
  <sheetViews>
    <sheetView topLeftCell="A233" workbookViewId="0">
      <selection activeCell="F265" sqref="F265"/>
    </sheetView>
  </sheetViews>
  <sheetFormatPr defaultColWidth="11.42578125" defaultRowHeight="14.25" x14ac:dyDescent="0.2"/>
  <cols>
    <col min="1" max="1" width="14" style="28" bestFit="1" customWidth="1"/>
    <col min="2" max="2" width="23.28515625" style="28" bestFit="1" customWidth="1"/>
    <col min="3" max="3" width="18" style="28" bestFit="1" customWidth="1"/>
    <col min="4" max="4" width="6.28515625" style="28" bestFit="1" customWidth="1"/>
    <col min="5" max="5" width="18.85546875" style="28" bestFit="1" customWidth="1"/>
    <col min="6" max="6" width="70.85546875" style="28" bestFit="1" customWidth="1"/>
    <col min="7" max="7" width="22.5703125" style="28" bestFit="1" customWidth="1"/>
    <col min="8" max="8" width="20.28515625" style="28" bestFit="1" customWidth="1"/>
    <col min="9" max="9" width="41.85546875" style="28" bestFit="1" customWidth="1"/>
    <col min="10" max="10" width="37.140625" style="28" bestFit="1" customWidth="1"/>
    <col min="11" max="11" width="40.28515625" style="28" bestFit="1" customWidth="1"/>
    <col min="12" max="16384" width="11.42578125" style="28"/>
  </cols>
  <sheetData>
    <row r="1" spans="1:11" x14ac:dyDescent="0.2">
      <c r="A1" s="28" t="s">
        <v>419</v>
      </c>
      <c r="B1" s="28" t="s">
        <v>420</v>
      </c>
      <c r="C1" s="28" t="s">
        <v>413</v>
      </c>
      <c r="D1" s="28" t="s">
        <v>414</v>
      </c>
      <c r="E1" s="28" t="s">
        <v>415</v>
      </c>
      <c r="F1" s="28" t="s">
        <v>425</v>
      </c>
      <c r="G1" s="28" t="s">
        <v>408</v>
      </c>
      <c r="H1" s="28" t="s">
        <v>409</v>
      </c>
      <c r="I1" s="28" t="s">
        <v>410</v>
      </c>
      <c r="J1" s="28" t="s">
        <v>411</v>
      </c>
      <c r="K1" s="28" t="s">
        <v>412</v>
      </c>
    </row>
    <row r="2" spans="1:11" s="33" customFormat="1" x14ac:dyDescent="0.2">
      <c r="A2" s="28" t="s">
        <v>416</v>
      </c>
      <c r="B2" s="28"/>
      <c r="C2" s="32" t="s">
        <v>0</v>
      </c>
      <c r="D2" s="33">
        <v>450</v>
      </c>
      <c r="E2" s="27" t="s">
        <v>67</v>
      </c>
      <c r="F2" s="27" t="str">
        <f>CONCATENATE(A2,B2,C2,D2,E2)</f>
        <v>ZargenVIONARO H63450Aluminium Natur</v>
      </c>
      <c r="G2" s="28" t="s">
        <v>73</v>
      </c>
      <c r="H2" s="28" t="str">
        <f t="shared" ref="H2:H13" si="0">LEFT(G2,10)</f>
        <v>F135124624</v>
      </c>
      <c r="I2" s="28" t="s">
        <v>74</v>
      </c>
      <c r="J2" s="28" t="s">
        <v>72</v>
      </c>
      <c r="K2" s="28" t="s">
        <v>75</v>
      </c>
    </row>
    <row r="3" spans="1:11" s="33" customFormat="1" x14ac:dyDescent="0.2">
      <c r="A3" s="28" t="s">
        <v>416</v>
      </c>
      <c r="B3" s="28"/>
      <c r="C3" s="32" t="s">
        <v>0</v>
      </c>
      <c r="D3" s="33">
        <v>500</v>
      </c>
      <c r="E3" s="27" t="s">
        <v>67</v>
      </c>
      <c r="F3" s="27" t="str">
        <f t="shared" ref="F3:F66" si="1">CONCATENATE(A3,B3,C3,D3,E3)</f>
        <v>ZargenVIONARO H63500Aluminium Natur</v>
      </c>
      <c r="G3" s="28" t="s">
        <v>76</v>
      </c>
      <c r="H3" s="28" t="str">
        <f t="shared" si="0"/>
        <v>F135124630</v>
      </c>
      <c r="I3" s="28" t="s">
        <v>77</v>
      </c>
      <c r="J3" s="28" t="s">
        <v>72</v>
      </c>
      <c r="K3" s="28" t="s">
        <v>78</v>
      </c>
    </row>
    <row r="4" spans="1:11" s="33" customFormat="1" x14ac:dyDescent="0.2">
      <c r="A4" s="28" t="s">
        <v>416</v>
      </c>
      <c r="B4" s="28"/>
      <c r="C4" s="32" t="s">
        <v>0</v>
      </c>
      <c r="D4" s="33">
        <v>550</v>
      </c>
      <c r="E4" s="27" t="s">
        <v>67</v>
      </c>
      <c r="F4" s="27" t="str">
        <f t="shared" si="1"/>
        <v>ZargenVIONARO H63550Aluminium Natur</v>
      </c>
      <c r="G4" s="28" t="s">
        <v>79</v>
      </c>
      <c r="H4" s="28" t="str">
        <f t="shared" si="0"/>
        <v>F135124636</v>
      </c>
      <c r="I4" s="28" t="s">
        <v>80</v>
      </c>
      <c r="J4" s="28" t="s">
        <v>72</v>
      </c>
      <c r="K4" s="28" t="s">
        <v>81</v>
      </c>
    </row>
    <row r="5" spans="1:11" s="33" customFormat="1" x14ac:dyDescent="0.2">
      <c r="A5" s="28" t="s">
        <v>416</v>
      </c>
      <c r="B5" s="28"/>
      <c r="C5" s="32" t="s">
        <v>0</v>
      </c>
      <c r="D5" s="33">
        <v>450</v>
      </c>
      <c r="E5" s="27" t="s">
        <v>68</v>
      </c>
      <c r="F5" s="27" t="str">
        <f t="shared" si="1"/>
        <v>ZargenVIONARO H63450Silver grey</v>
      </c>
      <c r="G5" s="28" t="s">
        <v>82</v>
      </c>
      <c r="H5" s="28" t="str">
        <f t="shared" si="0"/>
        <v>F135124874</v>
      </c>
      <c r="I5" s="28" t="s">
        <v>83</v>
      </c>
      <c r="J5" s="28" t="s">
        <v>72</v>
      </c>
      <c r="K5" s="28" t="s">
        <v>84</v>
      </c>
    </row>
    <row r="6" spans="1:11" s="33" customFormat="1" x14ac:dyDescent="0.2">
      <c r="A6" s="28" t="s">
        <v>416</v>
      </c>
      <c r="B6" s="28"/>
      <c r="C6" s="32" t="s">
        <v>0</v>
      </c>
      <c r="D6" s="33">
        <v>500</v>
      </c>
      <c r="E6" s="27" t="s">
        <v>68</v>
      </c>
      <c r="F6" s="27" t="str">
        <f t="shared" si="1"/>
        <v>ZargenVIONARO H63500Silver grey</v>
      </c>
      <c r="G6" s="28" t="s">
        <v>85</v>
      </c>
      <c r="H6" s="28" t="str">
        <f t="shared" si="0"/>
        <v>F135124880</v>
      </c>
      <c r="I6" s="28" t="s">
        <v>86</v>
      </c>
      <c r="J6" s="28" t="s">
        <v>72</v>
      </c>
      <c r="K6" s="28" t="s">
        <v>87</v>
      </c>
    </row>
    <row r="7" spans="1:11" s="33" customFormat="1" x14ac:dyDescent="0.2">
      <c r="A7" s="28" t="s">
        <v>416</v>
      </c>
      <c r="B7" s="28"/>
      <c r="C7" s="32" t="s">
        <v>0</v>
      </c>
      <c r="D7" s="33">
        <v>550</v>
      </c>
      <c r="E7" s="27" t="s">
        <v>68</v>
      </c>
      <c r="F7" s="27" t="str">
        <f t="shared" si="1"/>
        <v>ZargenVIONARO H63550Silver grey</v>
      </c>
      <c r="G7" s="28" t="s">
        <v>88</v>
      </c>
      <c r="H7" s="28" t="str">
        <f t="shared" si="0"/>
        <v>F135124886</v>
      </c>
      <c r="I7" s="28" t="s">
        <v>80</v>
      </c>
      <c r="J7" s="28" t="s">
        <v>72</v>
      </c>
      <c r="K7" s="28" t="s">
        <v>89</v>
      </c>
    </row>
    <row r="8" spans="1:11" s="33" customFormat="1" x14ac:dyDescent="0.2">
      <c r="A8" s="28" t="s">
        <v>416</v>
      </c>
      <c r="B8" s="28"/>
      <c r="C8" s="32" t="s">
        <v>0</v>
      </c>
      <c r="D8" s="33">
        <v>450</v>
      </c>
      <c r="E8" s="27" t="s">
        <v>69</v>
      </c>
      <c r="F8" s="27" t="str">
        <f t="shared" si="1"/>
        <v>ZargenVIONARO H63450Graphit</v>
      </c>
      <c r="G8" s="28" t="s">
        <v>90</v>
      </c>
      <c r="H8" s="28" t="str">
        <f t="shared" si="0"/>
        <v>F135106024</v>
      </c>
      <c r="I8" s="28" t="s">
        <v>91</v>
      </c>
      <c r="J8" s="28" t="s">
        <v>72</v>
      </c>
      <c r="K8" s="28" t="s">
        <v>92</v>
      </c>
    </row>
    <row r="9" spans="1:11" s="33" customFormat="1" x14ac:dyDescent="0.2">
      <c r="A9" s="28" t="s">
        <v>416</v>
      </c>
      <c r="B9" s="28"/>
      <c r="C9" s="32" t="s">
        <v>0</v>
      </c>
      <c r="D9" s="33">
        <v>500</v>
      </c>
      <c r="E9" s="27" t="s">
        <v>69</v>
      </c>
      <c r="F9" s="27" t="str">
        <f t="shared" si="1"/>
        <v>ZargenVIONARO H63500Graphit</v>
      </c>
      <c r="G9" s="28" t="s">
        <v>93</v>
      </c>
      <c r="H9" s="28" t="str">
        <f t="shared" si="0"/>
        <v>F135106030</v>
      </c>
      <c r="I9" s="28" t="s">
        <v>94</v>
      </c>
      <c r="J9" s="28" t="s">
        <v>72</v>
      </c>
      <c r="K9" s="28" t="s">
        <v>95</v>
      </c>
    </row>
    <row r="10" spans="1:11" s="33" customFormat="1" x14ac:dyDescent="0.2">
      <c r="A10" s="28" t="s">
        <v>416</v>
      </c>
      <c r="B10" s="28"/>
      <c r="C10" s="32" t="s">
        <v>0</v>
      </c>
      <c r="D10" s="33">
        <v>550</v>
      </c>
      <c r="E10" s="27" t="s">
        <v>69</v>
      </c>
      <c r="F10" s="27" t="str">
        <f t="shared" si="1"/>
        <v>ZargenVIONARO H63550Graphit</v>
      </c>
      <c r="G10" s="28" t="s">
        <v>96</v>
      </c>
      <c r="H10" s="28" t="str">
        <f t="shared" si="0"/>
        <v>F135106036</v>
      </c>
      <c r="I10" s="28" t="s">
        <v>97</v>
      </c>
      <c r="J10" s="28" t="s">
        <v>72</v>
      </c>
      <c r="K10" s="28" t="s">
        <v>98</v>
      </c>
    </row>
    <row r="11" spans="1:11" s="33" customFormat="1" x14ac:dyDescent="0.2">
      <c r="A11" s="28" t="s">
        <v>416</v>
      </c>
      <c r="B11" s="28"/>
      <c r="C11" s="32" t="s">
        <v>0</v>
      </c>
      <c r="D11" s="33">
        <v>450</v>
      </c>
      <c r="E11" s="27" t="s">
        <v>70</v>
      </c>
      <c r="F11" s="27" t="str">
        <f t="shared" si="1"/>
        <v>ZargenVIONARO H63450Snow white</v>
      </c>
      <c r="G11" s="28" t="s">
        <v>99</v>
      </c>
      <c r="H11" s="28" t="str">
        <f t="shared" si="0"/>
        <v>F135106224</v>
      </c>
      <c r="I11" s="28" t="s">
        <v>100</v>
      </c>
      <c r="J11" s="28" t="s">
        <v>72</v>
      </c>
      <c r="K11" s="28" t="s">
        <v>101</v>
      </c>
    </row>
    <row r="12" spans="1:11" s="33" customFormat="1" x14ac:dyDescent="0.2">
      <c r="A12" s="28" t="s">
        <v>416</v>
      </c>
      <c r="B12" s="28"/>
      <c r="C12" s="32" t="s">
        <v>0</v>
      </c>
      <c r="D12" s="33">
        <v>500</v>
      </c>
      <c r="E12" s="27" t="s">
        <v>70</v>
      </c>
      <c r="F12" s="27" t="str">
        <f t="shared" si="1"/>
        <v>ZargenVIONARO H63500Snow white</v>
      </c>
      <c r="G12" s="28" t="s">
        <v>102</v>
      </c>
      <c r="H12" s="28" t="str">
        <f t="shared" si="0"/>
        <v>F135106230</v>
      </c>
      <c r="I12" s="28" t="s">
        <v>103</v>
      </c>
      <c r="J12" s="28" t="s">
        <v>72</v>
      </c>
      <c r="K12" s="28" t="s">
        <v>104</v>
      </c>
    </row>
    <row r="13" spans="1:11" s="33" customFormat="1" x14ac:dyDescent="0.2">
      <c r="A13" s="28" t="s">
        <v>416</v>
      </c>
      <c r="B13" s="28"/>
      <c r="C13" s="32" t="s">
        <v>0</v>
      </c>
      <c r="D13" s="33">
        <v>550</v>
      </c>
      <c r="E13" s="27" t="s">
        <v>70</v>
      </c>
      <c r="F13" s="27" t="str">
        <f t="shared" si="1"/>
        <v>ZargenVIONARO H63550Snow white</v>
      </c>
      <c r="G13" s="28" t="s">
        <v>105</v>
      </c>
      <c r="H13" s="28" t="str">
        <f t="shared" si="0"/>
        <v>F135106236</v>
      </c>
      <c r="I13" s="28" t="s">
        <v>106</v>
      </c>
      <c r="J13" s="28" t="s">
        <v>72</v>
      </c>
      <c r="K13" s="28" t="s">
        <v>107</v>
      </c>
    </row>
    <row r="14" spans="1:11" s="33" customFormat="1" x14ac:dyDescent="0.2">
      <c r="A14" s="28" t="s">
        <v>416</v>
      </c>
      <c r="B14" s="28"/>
      <c r="C14" s="32" t="s">
        <v>1</v>
      </c>
      <c r="D14" s="33">
        <v>270</v>
      </c>
      <c r="E14" s="27" t="s">
        <v>67</v>
      </c>
      <c r="F14" s="27" t="str">
        <f t="shared" si="1"/>
        <v>ZargenVIONARO H89270Aluminium Natur</v>
      </c>
      <c r="G14" s="28" t="s">
        <v>109</v>
      </c>
      <c r="H14" s="28" t="str">
        <f t="shared" ref="H14:H43" si="2">LEFT(G14,10)</f>
        <v>F135118357</v>
      </c>
      <c r="I14" s="28" t="s">
        <v>110</v>
      </c>
      <c r="J14" s="28" t="s">
        <v>108</v>
      </c>
      <c r="K14" s="28" t="s">
        <v>111</v>
      </c>
    </row>
    <row r="15" spans="1:11" s="33" customFormat="1" x14ac:dyDescent="0.2">
      <c r="A15" s="28" t="s">
        <v>416</v>
      </c>
      <c r="B15" s="28"/>
      <c r="C15" s="32" t="s">
        <v>1</v>
      </c>
      <c r="D15" s="33">
        <v>300</v>
      </c>
      <c r="E15" s="27" t="s">
        <v>67</v>
      </c>
      <c r="F15" s="27" t="str">
        <f t="shared" si="1"/>
        <v>ZargenVIONARO H89300Aluminium Natur</v>
      </c>
      <c r="G15" s="28" t="s">
        <v>112</v>
      </c>
      <c r="H15" s="28" t="str">
        <f t="shared" si="2"/>
        <v>F135118360</v>
      </c>
      <c r="I15" s="28" t="s">
        <v>113</v>
      </c>
      <c r="J15" s="28" t="s">
        <v>108</v>
      </c>
      <c r="K15" s="28" t="s">
        <v>114</v>
      </c>
    </row>
    <row r="16" spans="1:11" s="33" customFormat="1" x14ac:dyDescent="0.2">
      <c r="A16" s="28" t="s">
        <v>416</v>
      </c>
      <c r="B16" s="28"/>
      <c r="C16" s="32" t="s">
        <v>1</v>
      </c>
      <c r="D16" s="33">
        <v>350</v>
      </c>
      <c r="E16" s="27" t="s">
        <v>67</v>
      </c>
      <c r="F16" s="27" t="str">
        <f t="shared" si="1"/>
        <v>ZargenVIONARO H89350Aluminium Natur</v>
      </c>
      <c r="G16" s="28" t="s">
        <v>115</v>
      </c>
      <c r="H16" s="28" t="str">
        <f t="shared" si="2"/>
        <v>F135118366</v>
      </c>
      <c r="I16" s="28" t="s">
        <v>116</v>
      </c>
      <c r="J16" s="28" t="s">
        <v>108</v>
      </c>
      <c r="K16" s="28" t="s">
        <v>117</v>
      </c>
    </row>
    <row r="17" spans="1:11" s="33" customFormat="1" x14ac:dyDescent="0.2">
      <c r="A17" s="28" t="s">
        <v>416</v>
      </c>
      <c r="B17" s="28"/>
      <c r="C17" s="32" t="s">
        <v>1</v>
      </c>
      <c r="D17" s="33">
        <v>400</v>
      </c>
      <c r="E17" s="27" t="s">
        <v>67</v>
      </c>
      <c r="F17" s="27" t="str">
        <f t="shared" si="1"/>
        <v>ZargenVIONARO H89400Aluminium Natur</v>
      </c>
      <c r="G17" s="28" t="s">
        <v>118</v>
      </c>
      <c r="H17" s="28" t="str">
        <f t="shared" si="2"/>
        <v>F135118372</v>
      </c>
      <c r="I17" s="28" t="s">
        <v>119</v>
      </c>
      <c r="J17" s="28" t="s">
        <v>108</v>
      </c>
      <c r="K17" s="28" t="s">
        <v>120</v>
      </c>
    </row>
    <row r="18" spans="1:11" s="33" customFormat="1" x14ac:dyDescent="0.2">
      <c r="A18" s="28" t="s">
        <v>416</v>
      </c>
      <c r="B18" s="28"/>
      <c r="C18" s="32" t="s">
        <v>1</v>
      </c>
      <c r="D18" s="33">
        <v>450</v>
      </c>
      <c r="E18" s="27" t="s">
        <v>67</v>
      </c>
      <c r="F18" s="27" t="str">
        <f t="shared" si="1"/>
        <v>ZargenVIONARO H89450Aluminium Natur</v>
      </c>
      <c r="G18" s="28" t="s">
        <v>121</v>
      </c>
      <c r="H18" s="28" t="str">
        <f t="shared" si="2"/>
        <v>F135118378</v>
      </c>
      <c r="I18" s="28" t="s">
        <v>122</v>
      </c>
      <c r="J18" s="28" t="s">
        <v>108</v>
      </c>
      <c r="K18" s="28" t="s">
        <v>75</v>
      </c>
    </row>
    <row r="19" spans="1:11" s="33" customFormat="1" x14ac:dyDescent="0.2">
      <c r="A19" s="28" t="s">
        <v>416</v>
      </c>
      <c r="B19" s="28"/>
      <c r="C19" s="32" t="s">
        <v>1</v>
      </c>
      <c r="D19" s="33">
        <v>500</v>
      </c>
      <c r="E19" s="27" t="s">
        <v>67</v>
      </c>
      <c r="F19" s="27" t="str">
        <f t="shared" si="1"/>
        <v>ZargenVIONARO H89500Aluminium Natur</v>
      </c>
      <c r="G19" s="28" t="s">
        <v>123</v>
      </c>
      <c r="H19" s="28" t="str">
        <f t="shared" si="2"/>
        <v>F135118384</v>
      </c>
      <c r="I19" s="28" t="s">
        <v>124</v>
      </c>
      <c r="J19" s="28" t="s">
        <v>108</v>
      </c>
      <c r="K19" s="28" t="s">
        <v>78</v>
      </c>
    </row>
    <row r="20" spans="1:11" s="33" customFormat="1" x14ac:dyDescent="0.2">
      <c r="A20" s="28" t="s">
        <v>416</v>
      </c>
      <c r="B20" s="28"/>
      <c r="C20" s="32" t="s">
        <v>1</v>
      </c>
      <c r="D20" s="33">
        <v>550</v>
      </c>
      <c r="E20" s="27" t="s">
        <v>67</v>
      </c>
      <c r="F20" s="27" t="str">
        <f t="shared" si="1"/>
        <v>ZargenVIONARO H89550Aluminium Natur</v>
      </c>
      <c r="G20" s="28" t="s">
        <v>125</v>
      </c>
      <c r="H20" s="28" t="str">
        <f t="shared" si="2"/>
        <v>F135118390</v>
      </c>
      <c r="I20" s="28" t="s">
        <v>126</v>
      </c>
      <c r="J20" s="28" t="s">
        <v>108</v>
      </c>
      <c r="K20" s="28" t="s">
        <v>81</v>
      </c>
    </row>
    <row r="21" spans="1:11" s="33" customFormat="1" x14ac:dyDescent="0.2">
      <c r="A21" s="28" t="s">
        <v>416</v>
      </c>
      <c r="B21" s="28"/>
      <c r="C21" s="32" t="s">
        <v>1</v>
      </c>
      <c r="D21" s="33">
        <v>600</v>
      </c>
      <c r="E21" s="27" t="s">
        <v>67</v>
      </c>
      <c r="F21" s="27" t="str">
        <f t="shared" si="1"/>
        <v>ZargenVIONARO H89600Aluminium Natur</v>
      </c>
      <c r="G21" s="28" t="s">
        <v>127</v>
      </c>
      <c r="H21" s="28" t="str">
        <f t="shared" si="2"/>
        <v>F135118396</v>
      </c>
      <c r="I21" s="28" t="s">
        <v>128</v>
      </c>
      <c r="J21" s="28" t="s">
        <v>108</v>
      </c>
      <c r="K21" s="28" t="s">
        <v>129</v>
      </c>
    </row>
    <row r="22" spans="1:11" s="33" customFormat="1" x14ac:dyDescent="0.2">
      <c r="A22" s="28" t="s">
        <v>416</v>
      </c>
      <c r="B22" s="28"/>
      <c r="C22" s="32" t="s">
        <v>1</v>
      </c>
      <c r="D22" s="33">
        <v>650</v>
      </c>
      <c r="E22" s="27" t="s">
        <v>67</v>
      </c>
      <c r="F22" s="27" t="str">
        <f t="shared" si="1"/>
        <v>ZargenVIONARO H89650Aluminium Natur</v>
      </c>
      <c r="G22" s="28" t="s">
        <v>130</v>
      </c>
      <c r="H22" s="28" t="str">
        <f t="shared" si="2"/>
        <v>F135118399</v>
      </c>
      <c r="I22" s="28" t="s">
        <v>131</v>
      </c>
      <c r="J22" s="28" t="s">
        <v>108</v>
      </c>
      <c r="K22" s="28" t="s">
        <v>132</v>
      </c>
    </row>
    <row r="23" spans="1:11" s="33" customFormat="1" x14ac:dyDescent="0.2">
      <c r="A23" s="28" t="s">
        <v>416</v>
      </c>
      <c r="B23" s="28"/>
      <c r="C23" s="32" t="s">
        <v>1</v>
      </c>
      <c r="D23" s="33">
        <v>270</v>
      </c>
      <c r="E23" s="27" t="s">
        <v>68</v>
      </c>
      <c r="F23" s="27" t="str">
        <f t="shared" si="1"/>
        <v>ZargenVIONARO H89270Silver grey</v>
      </c>
      <c r="G23" s="28" t="s">
        <v>134</v>
      </c>
      <c r="H23" s="28" t="str">
        <f t="shared" si="2"/>
        <v>F135119057</v>
      </c>
      <c r="I23" s="28" t="s">
        <v>135</v>
      </c>
      <c r="J23" s="28" t="s">
        <v>133</v>
      </c>
      <c r="K23" s="28" t="s">
        <v>136</v>
      </c>
    </row>
    <row r="24" spans="1:11" s="33" customFormat="1" x14ac:dyDescent="0.2">
      <c r="A24" s="28" t="s">
        <v>416</v>
      </c>
      <c r="B24" s="28"/>
      <c r="C24" s="32" t="s">
        <v>1</v>
      </c>
      <c r="D24" s="33">
        <v>300</v>
      </c>
      <c r="E24" s="27" t="s">
        <v>68</v>
      </c>
      <c r="F24" s="27" t="str">
        <f t="shared" si="1"/>
        <v>ZargenVIONARO H89300Silver grey</v>
      </c>
      <c r="G24" s="28" t="s">
        <v>137</v>
      </c>
      <c r="H24" s="28" t="str">
        <f t="shared" si="2"/>
        <v>F135119060</v>
      </c>
      <c r="I24" s="28" t="s">
        <v>138</v>
      </c>
      <c r="J24" s="28" t="s">
        <v>133</v>
      </c>
      <c r="K24" s="28" t="s">
        <v>139</v>
      </c>
    </row>
    <row r="25" spans="1:11" s="33" customFormat="1" x14ac:dyDescent="0.2">
      <c r="A25" s="28" t="s">
        <v>416</v>
      </c>
      <c r="B25" s="28"/>
      <c r="C25" s="32" t="s">
        <v>1</v>
      </c>
      <c r="D25" s="33">
        <v>350</v>
      </c>
      <c r="E25" s="27" t="s">
        <v>68</v>
      </c>
      <c r="F25" s="27" t="str">
        <f t="shared" si="1"/>
        <v>ZargenVIONARO H89350Silver grey</v>
      </c>
      <c r="G25" s="28" t="s">
        <v>140</v>
      </c>
      <c r="H25" s="28" t="str">
        <f t="shared" si="2"/>
        <v>F135119066</v>
      </c>
      <c r="I25" s="28" t="s">
        <v>141</v>
      </c>
      <c r="J25" s="28" t="s">
        <v>133</v>
      </c>
      <c r="K25" s="28" t="s">
        <v>142</v>
      </c>
    </row>
    <row r="26" spans="1:11" s="33" customFormat="1" x14ac:dyDescent="0.2">
      <c r="A26" s="28" t="s">
        <v>416</v>
      </c>
      <c r="B26" s="28"/>
      <c r="C26" s="32" t="s">
        <v>1</v>
      </c>
      <c r="D26" s="33">
        <v>400</v>
      </c>
      <c r="E26" s="27" t="s">
        <v>68</v>
      </c>
      <c r="F26" s="27" t="str">
        <f t="shared" si="1"/>
        <v>ZargenVIONARO H89400Silver grey</v>
      </c>
      <c r="G26" s="28" t="s">
        <v>143</v>
      </c>
      <c r="H26" s="28" t="str">
        <f t="shared" si="2"/>
        <v>F135119072</v>
      </c>
      <c r="I26" s="28" t="s">
        <v>144</v>
      </c>
      <c r="J26" s="28" t="s">
        <v>133</v>
      </c>
      <c r="K26" s="28" t="s">
        <v>145</v>
      </c>
    </row>
    <row r="27" spans="1:11" s="33" customFormat="1" x14ac:dyDescent="0.2">
      <c r="A27" s="28" t="s">
        <v>416</v>
      </c>
      <c r="B27" s="28"/>
      <c r="C27" s="32" t="s">
        <v>1</v>
      </c>
      <c r="D27" s="33">
        <v>450</v>
      </c>
      <c r="E27" s="27" t="s">
        <v>68</v>
      </c>
      <c r="F27" s="27" t="str">
        <f t="shared" si="1"/>
        <v>ZargenVIONARO H89450Silver grey</v>
      </c>
      <c r="G27" s="28" t="s">
        <v>146</v>
      </c>
      <c r="H27" s="28" t="str">
        <f t="shared" si="2"/>
        <v>F135119078</v>
      </c>
      <c r="I27" s="28" t="s">
        <v>147</v>
      </c>
      <c r="J27" s="28" t="s">
        <v>133</v>
      </c>
      <c r="K27" s="28" t="s">
        <v>148</v>
      </c>
    </row>
    <row r="28" spans="1:11" s="33" customFormat="1" x14ac:dyDescent="0.2">
      <c r="A28" s="28" t="s">
        <v>416</v>
      </c>
      <c r="B28" s="28"/>
      <c r="C28" s="32" t="s">
        <v>1</v>
      </c>
      <c r="D28" s="33">
        <v>500</v>
      </c>
      <c r="E28" s="27" t="s">
        <v>68</v>
      </c>
      <c r="F28" s="27" t="str">
        <f t="shared" si="1"/>
        <v>ZargenVIONARO H89500Silver grey</v>
      </c>
      <c r="G28" s="28" t="s">
        <v>149</v>
      </c>
      <c r="H28" s="28" t="str">
        <f t="shared" si="2"/>
        <v>F135119084</v>
      </c>
      <c r="I28" s="28" t="s">
        <v>150</v>
      </c>
      <c r="J28" s="28" t="s">
        <v>133</v>
      </c>
      <c r="K28" s="28" t="s">
        <v>151</v>
      </c>
    </row>
    <row r="29" spans="1:11" s="33" customFormat="1" x14ac:dyDescent="0.2">
      <c r="A29" s="28" t="s">
        <v>416</v>
      </c>
      <c r="B29" s="28"/>
      <c r="C29" s="32" t="s">
        <v>1</v>
      </c>
      <c r="D29" s="33">
        <v>550</v>
      </c>
      <c r="E29" s="27" t="s">
        <v>68</v>
      </c>
      <c r="F29" s="27" t="str">
        <f t="shared" si="1"/>
        <v>ZargenVIONARO H89550Silver grey</v>
      </c>
      <c r="G29" s="28" t="s">
        <v>152</v>
      </c>
      <c r="H29" s="28" t="str">
        <f t="shared" si="2"/>
        <v>F135119090</v>
      </c>
      <c r="I29" s="28" t="s">
        <v>153</v>
      </c>
      <c r="J29" s="28" t="s">
        <v>133</v>
      </c>
      <c r="K29" s="28" t="s">
        <v>154</v>
      </c>
    </row>
    <row r="30" spans="1:11" s="33" customFormat="1" x14ac:dyDescent="0.2">
      <c r="A30" s="28" t="s">
        <v>416</v>
      </c>
      <c r="B30" s="28"/>
      <c r="C30" s="32" t="s">
        <v>1</v>
      </c>
      <c r="D30" s="33">
        <v>600</v>
      </c>
      <c r="E30" s="27" t="s">
        <v>68</v>
      </c>
      <c r="F30" s="27" t="str">
        <f t="shared" si="1"/>
        <v>ZargenVIONARO H89600Silver grey</v>
      </c>
      <c r="G30" s="28" t="s">
        <v>155</v>
      </c>
      <c r="H30" s="28" t="str">
        <f t="shared" si="2"/>
        <v>F135119096</v>
      </c>
      <c r="I30" s="28" t="s">
        <v>156</v>
      </c>
      <c r="J30" s="28" t="s">
        <v>133</v>
      </c>
      <c r="K30" s="28" t="s">
        <v>157</v>
      </c>
    </row>
    <row r="31" spans="1:11" s="33" customFormat="1" x14ac:dyDescent="0.2">
      <c r="A31" s="28" t="s">
        <v>416</v>
      </c>
      <c r="B31" s="28"/>
      <c r="C31" s="32" t="s">
        <v>1</v>
      </c>
      <c r="D31" s="33">
        <v>650</v>
      </c>
      <c r="E31" s="27" t="s">
        <v>68</v>
      </c>
      <c r="F31" s="27" t="str">
        <f t="shared" si="1"/>
        <v>ZargenVIONARO H89650Silver grey</v>
      </c>
      <c r="G31" s="28" t="s">
        <v>158</v>
      </c>
      <c r="H31" s="28" t="str">
        <f t="shared" si="2"/>
        <v>F135119099</v>
      </c>
      <c r="I31" s="28" t="s">
        <v>159</v>
      </c>
      <c r="J31" s="28" t="s">
        <v>133</v>
      </c>
      <c r="K31" s="28" t="s">
        <v>160</v>
      </c>
    </row>
    <row r="32" spans="1:11" s="33" customFormat="1" x14ac:dyDescent="0.2">
      <c r="A32" s="28" t="s">
        <v>416</v>
      </c>
      <c r="B32" s="28"/>
      <c r="C32" s="32" t="s">
        <v>1</v>
      </c>
      <c r="D32" s="33">
        <v>270</v>
      </c>
      <c r="E32" s="27" t="s">
        <v>69</v>
      </c>
      <c r="F32" s="27" t="str">
        <f t="shared" si="1"/>
        <v>ZargenVIONARO H89270Graphit</v>
      </c>
      <c r="G32" s="28" t="s">
        <v>161</v>
      </c>
      <c r="H32" s="28" t="str">
        <f t="shared" si="2"/>
        <v>F135119303</v>
      </c>
      <c r="I32" s="28" t="s">
        <v>162</v>
      </c>
      <c r="J32" s="28" t="s">
        <v>133</v>
      </c>
      <c r="K32" s="28" t="s">
        <v>163</v>
      </c>
    </row>
    <row r="33" spans="1:11" s="33" customFormat="1" x14ac:dyDescent="0.2">
      <c r="A33" s="28" t="s">
        <v>416</v>
      </c>
      <c r="B33" s="28"/>
      <c r="C33" s="32" t="s">
        <v>1</v>
      </c>
      <c r="D33" s="33">
        <v>300</v>
      </c>
      <c r="E33" s="27" t="s">
        <v>69</v>
      </c>
      <c r="F33" s="27" t="str">
        <f t="shared" si="1"/>
        <v>ZargenVIONARO H89300Graphit</v>
      </c>
      <c r="G33" s="28" t="s">
        <v>164</v>
      </c>
      <c r="H33" s="28" t="str">
        <f t="shared" si="2"/>
        <v>F135119306</v>
      </c>
      <c r="I33" s="28" t="s">
        <v>165</v>
      </c>
      <c r="J33" s="28" t="s">
        <v>133</v>
      </c>
      <c r="K33" s="28" t="s">
        <v>166</v>
      </c>
    </row>
    <row r="34" spans="1:11" s="33" customFormat="1" x14ac:dyDescent="0.2">
      <c r="A34" s="28" t="s">
        <v>416</v>
      </c>
      <c r="B34" s="28"/>
      <c r="C34" s="32" t="s">
        <v>1</v>
      </c>
      <c r="D34" s="33">
        <v>350</v>
      </c>
      <c r="E34" s="27" t="s">
        <v>69</v>
      </c>
      <c r="F34" s="27" t="str">
        <f t="shared" si="1"/>
        <v>ZargenVIONARO H89350Graphit</v>
      </c>
      <c r="G34" s="28" t="s">
        <v>167</v>
      </c>
      <c r="H34" s="28" t="str">
        <f t="shared" si="2"/>
        <v>F135119312</v>
      </c>
      <c r="I34" s="28" t="s">
        <v>168</v>
      </c>
      <c r="J34" s="28" t="s">
        <v>133</v>
      </c>
      <c r="K34" s="28" t="s">
        <v>169</v>
      </c>
    </row>
    <row r="35" spans="1:11" s="33" customFormat="1" x14ac:dyDescent="0.2">
      <c r="A35" s="28" t="s">
        <v>416</v>
      </c>
      <c r="B35" s="28"/>
      <c r="C35" s="32" t="s">
        <v>1</v>
      </c>
      <c r="D35" s="33">
        <v>400</v>
      </c>
      <c r="E35" s="27" t="s">
        <v>69</v>
      </c>
      <c r="F35" s="27" t="str">
        <f t="shared" si="1"/>
        <v>ZargenVIONARO H89400Graphit</v>
      </c>
      <c r="G35" s="28" t="s">
        <v>170</v>
      </c>
      <c r="H35" s="28" t="str">
        <f t="shared" si="2"/>
        <v>F135119318</v>
      </c>
      <c r="I35" s="28" t="s">
        <v>171</v>
      </c>
      <c r="J35" s="28" t="s">
        <v>133</v>
      </c>
      <c r="K35" s="28" t="s">
        <v>172</v>
      </c>
    </row>
    <row r="36" spans="1:11" s="33" customFormat="1" x14ac:dyDescent="0.2">
      <c r="A36" s="28" t="s">
        <v>416</v>
      </c>
      <c r="B36" s="28"/>
      <c r="C36" s="32" t="s">
        <v>1</v>
      </c>
      <c r="D36" s="33">
        <v>450</v>
      </c>
      <c r="E36" s="27" t="s">
        <v>69</v>
      </c>
      <c r="F36" s="27" t="str">
        <f t="shared" si="1"/>
        <v>ZargenVIONARO H89450Graphit</v>
      </c>
      <c r="G36" s="28" t="s">
        <v>173</v>
      </c>
      <c r="H36" s="28" t="str">
        <f t="shared" si="2"/>
        <v>F135119324</v>
      </c>
      <c r="I36" s="28" t="s">
        <v>174</v>
      </c>
      <c r="J36" s="28" t="s">
        <v>133</v>
      </c>
      <c r="K36" s="28" t="s">
        <v>175</v>
      </c>
    </row>
    <row r="37" spans="1:11" s="33" customFormat="1" x14ac:dyDescent="0.2">
      <c r="A37" s="28" t="s">
        <v>416</v>
      </c>
      <c r="B37" s="28"/>
      <c r="C37" s="32" t="s">
        <v>1</v>
      </c>
      <c r="D37" s="33">
        <v>500</v>
      </c>
      <c r="E37" s="27" t="s">
        <v>69</v>
      </c>
      <c r="F37" s="27" t="str">
        <f t="shared" si="1"/>
        <v>ZargenVIONARO H89500Graphit</v>
      </c>
      <c r="G37" s="28" t="s">
        <v>176</v>
      </c>
      <c r="H37" s="28" t="str">
        <f t="shared" si="2"/>
        <v>F135119333</v>
      </c>
      <c r="I37" s="28" t="s">
        <v>177</v>
      </c>
      <c r="J37" s="28" t="s">
        <v>133</v>
      </c>
      <c r="K37" s="28" t="s">
        <v>178</v>
      </c>
    </row>
    <row r="38" spans="1:11" s="33" customFormat="1" x14ac:dyDescent="0.2">
      <c r="A38" s="28" t="s">
        <v>416</v>
      </c>
      <c r="B38" s="28"/>
      <c r="C38" s="32" t="s">
        <v>1</v>
      </c>
      <c r="D38" s="33">
        <v>550</v>
      </c>
      <c r="E38" s="27" t="s">
        <v>69</v>
      </c>
      <c r="F38" s="27" t="str">
        <f t="shared" si="1"/>
        <v>ZargenVIONARO H89550Graphit</v>
      </c>
      <c r="G38" s="28" t="s">
        <v>179</v>
      </c>
      <c r="H38" s="28" t="str">
        <f t="shared" si="2"/>
        <v>F135119342</v>
      </c>
      <c r="I38" s="28" t="s">
        <v>180</v>
      </c>
      <c r="J38" s="28" t="s">
        <v>133</v>
      </c>
      <c r="K38" s="28" t="s">
        <v>181</v>
      </c>
    </row>
    <row r="39" spans="1:11" s="33" customFormat="1" x14ac:dyDescent="0.2">
      <c r="A39" s="28" t="s">
        <v>416</v>
      </c>
      <c r="B39" s="28"/>
      <c r="C39" s="32" t="s">
        <v>1</v>
      </c>
      <c r="D39" s="33">
        <v>600</v>
      </c>
      <c r="E39" s="27" t="s">
        <v>69</v>
      </c>
      <c r="F39" s="27" t="str">
        <f t="shared" si="1"/>
        <v>ZargenVIONARO H89600Graphit</v>
      </c>
      <c r="G39" s="28" t="s">
        <v>182</v>
      </c>
      <c r="H39" s="28" t="str">
        <f t="shared" si="2"/>
        <v>F135119351</v>
      </c>
      <c r="I39" s="28" t="s">
        <v>183</v>
      </c>
      <c r="J39" s="28" t="s">
        <v>133</v>
      </c>
      <c r="K39" s="28" t="s">
        <v>184</v>
      </c>
    </row>
    <row r="40" spans="1:11" s="33" customFormat="1" x14ac:dyDescent="0.2">
      <c r="A40" s="28" t="s">
        <v>416</v>
      </c>
      <c r="B40" s="28"/>
      <c r="C40" s="32" t="s">
        <v>1</v>
      </c>
      <c r="D40" s="33">
        <v>650</v>
      </c>
      <c r="E40" s="27" t="s">
        <v>69</v>
      </c>
      <c r="F40" s="27" t="str">
        <f t="shared" si="1"/>
        <v>ZargenVIONARO H89650Graphit</v>
      </c>
      <c r="G40" s="28" t="s">
        <v>185</v>
      </c>
      <c r="H40" s="28" t="str">
        <f t="shared" si="2"/>
        <v>F135119400</v>
      </c>
      <c r="I40" s="28" t="s">
        <v>186</v>
      </c>
      <c r="J40" s="28" t="s">
        <v>133</v>
      </c>
      <c r="K40" s="28" t="s">
        <v>187</v>
      </c>
    </row>
    <row r="41" spans="1:11" s="33" customFormat="1" x14ac:dyDescent="0.2">
      <c r="A41" s="28" t="s">
        <v>416</v>
      </c>
      <c r="B41" s="28"/>
      <c r="C41" s="32" t="s">
        <v>1</v>
      </c>
      <c r="D41" s="33">
        <v>270</v>
      </c>
      <c r="E41" s="27" t="s">
        <v>70</v>
      </c>
      <c r="F41" s="27" t="str">
        <f t="shared" si="1"/>
        <v>ZargenVIONARO H89270Snow white</v>
      </c>
      <c r="G41" s="28" t="s">
        <v>188</v>
      </c>
      <c r="H41" s="28" t="str">
        <f t="shared" si="2"/>
        <v>F135120603</v>
      </c>
      <c r="I41" s="28" t="s">
        <v>189</v>
      </c>
      <c r="J41" s="28" t="s">
        <v>133</v>
      </c>
      <c r="K41" s="28" t="s">
        <v>190</v>
      </c>
    </row>
    <row r="42" spans="1:11" s="33" customFormat="1" x14ac:dyDescent="0.2">
      <c r="A42" s="28" t="s">
        <v>416</v>
      </c>
      <c r="B42" s="28"/>
      <c r="C42" s="32" t="s">
        <v>1</v>
      </c>
      <c r="D42" s="33">
        <v>300</v>
      </c>
      <c r="E42" s="27" t="s">
        <v>70</v>
      </c>
      <c r="F42" s="27" t="str">
        <f t="shared" si="1"/>
        <v>ZargenVIONARO H89300Snow white</v>
      </c>
      <c r="G42" s="28" t="s">
        <v>191</v>
      </c>
      <c r="H42" s="28" t="str">
        <f t="shared" si="2"/>
        <v>F135120606</v>
      </c>
      <c r="I42" s="28" t="s">
        <v>192</v>
      </c>
      <c r="J42" s="28" t="s">
        <v>133</v>
      </c>
      <c r="K42" s="28" t="s">
        <v>193</v>
      </c>
    </row>
    <row r="43" spans="1:11" s="33" customFormat="1" x14ac:dyDescent="0.2">
      <c r="A43" s="28" t="s">
        <v>416</v>
      </c>
      <c r="B43" s="28"/>
      <c r="C43" s="32" t="s">
        <v>1</v>
      </c>
      <c r="D43" s="33">
        <v>350</v>
      </c>
      <c r="E43" s="27" t="s">
        <v>70</v>
      </c>
      <c r="F43" s="27" t="str">
        <f t="shared" si="1"/>
        <v>ZargenVIONARO H89350Snow white</v>
      </c>
      <c r="G43" s="28" t="s">
        <v>194</v>
      </c>
      <c r="H43" s="28" t="str">
        <f t="shared" si="2"/>
        <v>F135120612</v>
      </c>
      <c r="I43" s="28" t="s">
        <v>195</v>
      </c>
      <c r="J43" s="28" t="s">
        <v>133</v>
      </c>
      <c r="K43" s="28" t="s">
        <v>196</v>
      </c>
    </row>
    <row r="44" spans="1:11" s="33" customFormat="1" x14ac:dyDescent="0.2">
      <c r="A44" s="28" t="s">
        <v>416</v>
      </c>
      <c r="B44" s="28"/>
      <c r="C44" s="32" t="s">
        <v>1</v>
      </c>
      <c r="D44" s="33">
        <v>400</v>
      </c>
      <c r="E44" s="27" t="s">
        <v>70</v>
      </c>
      <c r="F44" s="27" t="str">
        <f t="shared" si="1"/>
        <v>ZargenVIONARO H89400Snow white</v>
      </c>
      <c r="G44" s="28" t="s">
        <v>197</v>
      </c>
      <c r="H44" s="28" t="str">
        <f t="shared" ref="H44:H64" si="3">LEFT(G44,10)</f>
        <v>F135120618</v>
      </c>
      <c r="I44" s="28" t="s">
        <v>198</v>
      </c>
      <c r="J44" s="28" t="s">
        <v>133</v>
      </c>
      <c r="K44" s="28" t="s">
        <v>199</v>
      </c>
    </row>
    <row r="45" spans="1:11" s="33" customFormat="1" x14ac:dyDescent="0.2">
      <c r="A45" s="28" t="s">
        <v>416</v>
      </c>
      <c r="B45" s="28"/>
      <c r="C45" s="32" t="s">
        <v>1</v>
      </c>
      <c r="D45" s="33">
        <v>450</v>
      </c>
      <c r="E45" s="27" t="s">
        <v>70</v>
      </c>
      <c r="F45" s="27" t="str">
        <f t="shared" si="1"/>
        <v>ZargenVIONARO H89450Snow white</v>
      </c>
      <c r="G45" s="28" t="s">
        <v>200</v>
      </c>
      <c r="H45" s="28" t="str">
        <f t="shared" si="3"/>
        <v>F135120624</v>
      </c>
      <c r="I45" s="28" t="s">
        <v>201</v>
      </c>
      <c r="J45" s="28" t="s">
        <v>133</v>
      </c>
      <c r="K45" s="28" t="s">
        <v>202</v>
      </c>
    </row>
    <row r="46" spans="1:11" s="33" customFormat="1" x14ac:dyDescent="0.2">
      <c r="A46" s="28" t="s">
        <v>416</v>
      </c>
      <c r="B46" s="28"/>
      <c r="C46" s="32" t="s">
        <v>1</v>
      </c>
      <c r="D46" s="33">
        <v>500</v>
      </c>
      <c r="E46" s="27" t="s">
        <v>70</v>
      </c>
      <c r="F46" s="27" t="str">
        <f t="shared" si="1"/>
        <v>ZargenVIONARO H89500Snow white</v>
      </c>
      <c r="G46" s="28" t="s">
        <v>203</v>
      </c>
      <c r="H46" s="28" t="str">
        <f t="shared" si="3"/>
        <v>F135120633</v>
      </c>
      <c r="I46" s="28" t="s">
        <v>204</v>
      </c>
      <c r="J46" s="28" t="s">
        <v>133</v>
      </c>
      <c r="K46" s="28" t="s">
        <v>205</v>
      </c>
    </row>
    <row r="47" spans="1:11" s="33" customFormat="1" x14ac:dyDescent="0.2">
      <c r="A47" s="28" t="s">
        <v>416</v>
      </c>
      <c r="B47" s="28"/>
      <c r="C47" s="32" t="s">
        <v>1</v>
      </c>
      <c r="D47" s="33">
        <v>550</v>
      </c>
      <c r="E47" s="27" t="s">
        <v>70</v>
      </c>
      <c r="F47" s="27" t="str">
        <f t="shared" si="1"/>
        <v>ZargenVIONARO H89550Snow white</v>
      </c>
      <c r="G47" s="28" t="s">
        <v>206</v>
      </c>
      <c r="H47" s="28" t="str">
        <f t="shared" si="3"/>
        <v>F135120642</v>
      </c>
      <c r="I47" s="28" t="s">
        <v>207</v>
      </c>
      <c r="J47" s="28" t="s">
        <v>133</v>
      </c>
      <c r="K47" s="28" t="s">
        <v>208</v>
      </c>
    </row>
    <row r="48" spans="1:11" s="33" customFormat="1" x14ac:dyDescent="0.2">
      <c r="A48" s="28" t="s">
        <v>416</v>
      </c>
      <c r="B48" s="28"/>
      <c r="C48" s="32" t="s">
        <v>1</v>
      </c>
      <c r="D48" s="33">
        <v>600</v>
      </c>
      <c r="E48" s="27" t="s">
        <v>70</v>
      </c>
      <c r="F48" s="27" t="str">
        <f t="shared" si="1"/>
        <v>ZargenVIONARO H89600Snow white</v>
      </c>
      <c r="G48" s="28" t="s">
        <v>209</v>
      </c>
      <c r="H48" s="28" t="str">
        <f t="shared" si="3"/>
        <v>F135120651</v>
      </c>
      <c r="I48" s="28" t="s">
        <v>210</v>
      </c>
      <c r="J48" s="28" t="s">
        <v>133</v>
      </c>
      <c r="K48" s="28" t="s">
        <v>211</v>
      </c>
    </row>
    <row r="49" spans="1:11" s="33" customFormat="1" x14ac:dyDescent="0.2">
      <c r="A49" s="28" t="s">
        <v>416</v>
      </c>
      <c r="B49" s="28"/>
      <c r="C49" s="32" t="s">
        <v>1</v>
      </c>
      <c r="D49" s="33">
        <v>650</v>
      </c>
      <c r="E49" s="27" t="s">
        <v>70</v>
      </c>
      <c r="F49" s="27" t="str">
        <f t="shared" si="1"/>
        <v>ZargenVIONARO H89650Snow white</v>
      </c>
      <c r="G49" s="28" t="s">
        <v>212</v>
      </c>
      <c r="H49" s="28" t="str">
        <f t="shared" si="3"/>
        <v>F135120654</v>
      </c>
      <c r="I49" s="28" t="s">
        <v>213</v>
      </c>
      <c r="J49" s="28" t="s">
        <v>133</v>
      </c>
      <c r="K49" s="28" t="s">
        <v>214</v>
      </c>
    </row>
    <row r="50" spans="1:11" s="33" customFormat="1" x14ac:dyDescent="0.2">
      <c r="A50" s="28" t="s">
        <v>416</v>
      </c>
      <c r="B50" s="28"/>
      <c r="C50" s="32" t="s">
        <v>2</v>
      </c>
      <c r="D50" s="33">
        <v>350</v>
      </c>
      <c r="E50" s="27" t="s">
        <v>68</v>
      </c>
      <c r="F50" s="27" t="str">
        <f t="shared" si="1"/>
        <v>ZargenVIONARO H121350Silver grey</v>
      </c>
      <c r="G50" s="31" t="s">
        <v>216</v>
      </c>
      <c r="H50" s="28" t="str">
        <f t="shared" si="3"/>
        <v>F135124112</v>
      </c>
      <c r="I50" s="28" t="s">
        <v>217</v>
      </c>
      <c r="J50" s="28" t="s">
        <v>215</v>
      </c>
      <c r="K50" s="28" t="s">
        <v>142</v>
      </c>
    </row>
    <row r="51" spans="1:11" s="33" customFormat="1" x14ac:dyDescent="0.2">
      <c r="A51" s="28" t="s">
        <v>416</v>
      </c>
      <c r="B51" s="28"/>
      <c r="C51" s="32" t="s">
        <v>2</v>
      </c>
      <c r="D51" s="33">
        <v>400</v>
      </c>
      <c r="E51" s="27" t="s">
        <v>68</v>
      </c>
      <c r="F51" s="27" t="str">
        <f t="shared" si="1"/>
        <v>ZargenVIONARO H121400Silver grey</v>
      </c>
      <c r="G51" s="31" t="s">
        <v>218</v>
      </c>
      <c r="H51" s="28" t="str">
        <f t="shared" si="3"/>
        <v>F135124118</v>
      </c>
      <c r="I51" s="28" t="s">
        <v>219</v>
      </c>
      <c r="J51" s="28" t="s">
        <v>215</v>
      </c>
      <c r="K51" s="28" t="s">
        <v>145</v>
      </c>
    </row>
    <row r="52" spans="1:11" s="33" customFormat="1" x14ac:dyDescent="0.2">
      <c r="A52" s="28" t="s">
        <v>416</v>
      </c>
      <c r="B52" s="28"/>
      <c r="C52" s="32" t="s">
        <v>2</v>
      </c>
      <c r="D52" s="33">
        <v>450</v>
      </c>
      <c r="E52" s="27" t="s">
        <v>68</v>
      </c>
      <c r="F52" s="27" t="str">
        <f t="shared" si="1"/>
        <v>ZargenVIONARO H121450Silver grey</v>
      </c>
      <c r="G52" s="31" t="s">
        <v>220</v>
      </c>
      <c r="H52" s="28" t="str">
        <f t="shared" si="3"/>
        <v>F135124124</v>
      </c>
      <c r="I52" s="28" t="s">
        <v>221</v>
      </c>
      <c r="J52" s="28" t="s">
        <v>215</v>
      </c>
      <c r="K52" s="28" t="s">
        <v>148</v>
      </c>
    </row>
    <row r="53" spans="1:11" s="33" customFormat="1" x14ac:dyDescent="0.2">
      <c r="A53" s="28" t="s">
        <v>416</v>
      </c>
      <c r="B53" s="28"/>
      <c r="C53" s="32" t="s">
        <v>2</v>
      </c>
      <c r="D53" s="33">
        <v>500</v>
      </c>
      <c r="E53" s="27" t="s">
        <v>68</v>
      </c>
      <c r="F53" s="27" t="str">
        <f t="shared" si="1"/>
        <v>ZargenVIONARO H121500Silver grey</v>
      </c>
      <c r="G53" s="31" t="s">
        <v>222</v>
      </c>
      <c r="H53" s="28" t="str">
        <f t="shared" si="3"/>
        <v>F135124130</v>
      </c>
      <c r="I53" s="28" t="s">
        <v>223</v>
      </c>
      <c r="J53" s="28" t="s">
        <v>215</v>
      </c>
      <c r="K53" s="28" t="s">
        <v>151</v>
      </c>
    </row>
    <row r="54" spans="1:11" s="33" customFormat="1" x14ac:dyDescent="0.2">
      <c r="A54" s="28" t="s">
        <v>416</v>
      </c>
      <c r="B54" s="28"/>
      <c r="C54" s="32" t="s">
        <v>2</v>
      </c>
      <c r="D54" s="33">
        <v>550</v>
      </c>
      <c r="E54" s="27" t="s">
        <v>68</v>
      </c>
      <c r="F54" s="27" t="str">
        <f t="shared" si="1"/>
        <v>ZargenVIONARO H121550Silver grey</v>
      </c>
      <c r="G54" s="31" t="s">
        <v>224</v>
      </c>
      <c r="H54" s="28" t="str">
        <f t="shared" si="3"/>
        <v>F135124136</v>
      </c>
      <c r="I54" s="28" t="s">
        <v>225</v>
      </c>
      <c r="J54" s="28" t="s">
        <v>215</v>
      </c>
      <c r="K54" s="28" t="s">
        <v>154</v>
      </c>
    </row>
    <row r="55" spans="1:11" s="33" customFormat="1" x14ac:dyDescent="0.2">
      <c r="A55" s="28" t="s">
        <v>416</v>
      </c>
      <c r="B55" s="28"/>
      <c r="C55" s="32" t="s">
        <v>2</v>
      </c>
      <c r="D55" s="33">
        <v>350</v>
      </c>
      <c r="E55" s="27" t="s">
        <v>69</v>
      </c>
      <c r="F55" s="27" t="str">
        <f t="shared" si="1"/>
        <v>ZargenVIONARO H121350Graphit</v>
      </c>
      <c r="G55" s="31" t="s">
        <v>226</v>
      </c>
      <c r="H55" s="28" t="str">
        <f t="shared" si="3"/>
        <v>F135124212</v>
      </c>
      <c r="I55" s="28" t="s">
        <v>227</v>
      </c>
      <c r="J55" s="28" t="s">
        <v>215</v>
      </c>
      <c r="K55" s="28" t="s">
        <v>228</v>
      </c>
    </row>
    <row r="56" spans="1:11" s="33" customFormat="1" x14ac:dyDescent="0.2">
      <c r="A56" s="28" t="s">
        <v>416</v>
      </c>
      <c r="B56" s="28"/>
      <c r="C56" s="32" t="s">
        <v>2</v>
      </c>
      <c r="D56" s="33">
        <v>400</v>
      </c>
      <c r="E56" s="27" t="s">
        <v>69</v>
      </c>
      <c r="F56" s="27" t="str">
        <f t="shared" si="1"/>
        <v>ZargenVIONARO H121400Graphit</v>
      </c>
      <c r="G56" s="31" t="s">
        <v>229</v>
      </c>
      <c r="H56" s="28" t="str">
        <f t="shared" si="3"/>
        <v>F135124218</v>
      </c>
      <c r="I56" s="28" t="s">
        <v>230</v>
      </c>
      <c r="J56" s="28" t="s">
        <v>215</v>
      </c>
      <c r="K56" s="28" t="s">
        <v>231</v>
      </c>
    </row>
    <row r="57" spans="1:11" s="33" customFormat="1" x14ac:dyDescent="0.2">
      <c r="A57" s="28" t="s">
        <v>416</v>
      </c>
      <c r="B57" s="28"/>
      <c r="C57" s="32" t="s">
        <v>2</v>
      </c>
      <c r="D57" s="33">
        <v>450</v>
      </c>
      <c r="E57" s="27" t="s">
        <v>69</v>
      </c>
      <c r="F57" s="27" t="str">
        <f t="shared" si="1"/>
        <v>ZargenVIONARO H121450Graphit</v>
      </c>
      <c r="G57" s="31" t="s">
        <v>232</v>
      </c>
      <c r="H57" s="28" t="str">
        <f t="shared" si="3"/>
        <v>F135124224</v>
      </c>
      <c r="I57" s="28" t="s">
        <v>233</v>
      </c>
      <c r="J57" s="28" t="s">
        <v>215</v>
      </c>
      <c r="K57" s="28" t="s">
        <v>92</v>
      </c>
    </row>
    <row r="58" spans="1:11" s="33" customFormat="1" x14ac:dyDescent="0.2">
      <c r="A58" s="28" t="s">
        <v>416</v>
      </c>
      <c r="B58" s="28"/>
      <c r="C58" s="32" t="s">
        <v>2</v>
      </c>
      <c r="D58" s="33">
        <v>500</v>
      </c>
      <c r="E58" s="27" t="s">
        <v>69</v>
      </c>
      <c r="F58" s="27" t="str">
        <f t="shared" si="1"/>
        <v>ZargenVIONARO H121500Graphit</v>
      </c>
      <c r="G58" s="31" t="s">
        <v>234</v>
      </c>
      <c r="H58" s="28" t="str">
        <f t="shared" si="3"/>
        <v>F135124230</v>
      </c>
      <c r="I58" s="28" t="s">
        <v>235</v>
      </c>
      <c r="J58" s="28" t="s">
        <v>215</v>
      </c>
      <c r="K58" s="28" t="s">
        <v>95</v>
      </c>
    </row>
    <row r="59" spans="1:11" s="33" customFormat="1" x14ac:dyDescent="0.2">
      <c r="A59" s="28" t="s">
        <v>416</v>
      </c>
      <c r="B59" s="28"/>
      <c r="C59" s="32" t="s">
        <v>2</v>
      </c>
      <c r="D59" s="33">
        <v>550</v>
      </c>
      <c r="E59" s="27" t="s">
        <v>69</v>
      </c>
      <c r="F59" s="27" t="str">
        <f t="shared" si="1"/>
        <v>ZargenVIONARO H121550Graphit</v>
      </c>
      <c r="G59" s="31" t="s">
        <v>236</v>
      </c>
      <c r="H59" s="28" t="str">
        <f t="shared" si="3"/>
        <v>F135124236</v>
      </c>
      <c r="I59" s="28" t="s">
        <v>237</v>
      </c>
      <c r="J59" s="28" t="s">
        <v>215</v>
      </c>
      <c r="K59" s="28" t="s">
        <v>98</v>
      </c>
    </row>
    <row r="60" spans="1:11" s="33" customFormat="1" x14ac:dyDescent="0.2">
      <c r="A60" s="28" t="s">
        <v>416</v>
      </c>
      <c r="B60" s="28"/>
      <c r="C60" s="32" t="s">
        <v>2</v>
      </c>
      <c r="D60" s="33">
        <v>350</v>
      </c>
      <c r="E60" s="27" t="s">
        <v>70</v>
      </c>
      <c r="F60" s="27" t="str">
        <f t="shared" si="1"/>
        <v>ZargenVIONARO H121350Snow white</v>
      </c>
      <c r="G60" s="31" t="s">
        <v>238</v>
      </c>
      <c r="H60" s="28" t="str">
        <f t="shared" si="3"/>
        <v>F135124312</v>
      </c>
      <c r="I60" s="28" t="s">
        <v>239</v>
      </c>
      <c r="J60" s="28" t="s">
        <v>215</v>
      </c>
      <c r="K60" s="28" t="s">
        <v>240</v>
      </c>
    </row>
    <row r="61" spans="1:11" s="33" customFormat="1" x14ac:dyDescent="0.2">
      <c r="A61" s="28" t="s">
        <v>416</v>
      </c>
      <c r="B61" s="28"/>
      <c r="C61" s="32" t="s">
        <v>2</v>
      </c>
      <c r="D61" s="33">
        <v>400</v>
      </c>
      <c r="E61" s="27" t="s">
        <v>70</v>
      </c>
      <c r="F61" s="27" t="str">
        <f t="shared" si="1"/>
        <v>ZargenVIONARO H121400Snow white</v>
      </c>
      <c r="G61" s="31" t="s">
        <v>241</v>
      </c>
      <c r="H61" s="28" t="str">
        <f t="shared" si="3"/>
        <v>F135124318</v>
      </c>
      <c r="I61" s="28" t="s">
        <v>242</v>
      </c>
      <c r="J61" s="28" t="s">
        <v>215</v>
      </c>
      <c r="K61" s="28" t="s">
        <v>243</v>
      </c>
    </row>
    <row r="62" spans="1:11" s="33" customFormat="1" x14ac:dyDescent="0.2">
      <c r="A62" s="28" t="s">
        <v>416</v>
      </c>
      <c r="B62" s="28"/>
      <c r="C62" s="32" t="s">
        <v>2</v>
      </c>
      <c r="D62" s="33">
        <v>450</v>
      </c>
      <c r="E62" s="27" t="s">
        <v>70</v>
      </c>
      <c r="F62" s="27" t="str">
        <f t="shared" si="1"/>
        <v>ZargenVIONARO H121450Snow white</v>
      </c>
      <c r="G62" s="31" t="s">
        <v>244</v>
      </c>
      <c r="H62" s="28" t="str">
        <f t="shared" si="3"/>
        <v>F135124324</v>
      </c>
      <c r="I62" s="28" t="s">
        <v>245</v>
      </c>
      <c r="J62" s="28" t="s">
        <v>215</v>
      </c>
      <c r="K62" s="28" t="s">
        <v>101</v>
      </c>
    </row>
    <row r="63" spans="1:11" s="33" customFormat="1" x14ac:dyDescent="0.2">
      <c r="A63" s="28" t="s">
        <v>416</v>
      </c>
      <c r="B63" s="28"/>
      <c r="C63" s="32" t="s">
        <v>2</v>
      </c>
      <c r="D63" s="33">
        <v>500</v>
      </c>
      <c r="E63" s="27" t="s">
        <v>70</v>
      </c>
      <c r="F63" s="27" t="str">
        <f t="shared" si="1"/>
        <v>ZargenVIONARO H121500Snow white</v>
      </c>
      <c r="G63" s="31" t="s">
        <v>246</v>
      </c>
      <c r="H63" s="28" t="str">
        <f t="shared" si="3"/>
        <v>F135124330</v>
      </c>
      <c r="I63" s="28" t="s">
        <v>247</v>
      </c>
      <c r="J63" s="28" t="s">
        <v>215</v>
      </c>
      <c r="K63" s="28" t="s">
        <v>104</v>
      </c>
    </row>
    <row r="64" spans="1:11" s="33" customFormat="1" x14ac:dyDescent="0.2">
      <c r="A64" s="28" t="s">
        <v>416</v>
      </c>
      <c r="B64" s="28"/>
      <c r="C64" s="32" t="s">
        <v>2</v>
      </c>
      <c r="D64" s="33">
        <v>550</v>
      </c>
      <c r="E64" s="27" t="s">
        <v>70</v>
      </c>
      <c r="F64" s="27" t="str">
        <f t="shared" si="1"/>
        <v>ZargenVIONARO H121550Snow white</v>
      </c>
      <c r="G64" s="31" t="s">
        <v>248</v>
      </c>
      <c r="H64" s="28" t="str">
        <f t="shared" si="3"/>
        <v>F135124336</v>
      </c>
      <c r="I64" s="28" t="s">
        <v>249</v>
      </c>
      <c r="J64" s="28" t="s">
        <v>215</v>
      </c>
      <c r="K64" s="28" t="s">
        <v>107</v>
      </c>
    </row>
    <row r="65" spans="1:11" s="33" customFormat="1" x14ac:dyDescent="0.2">
      <c r="A65" s="28" t="s">
        <v>416</v>
      </c>
      <c r="B65" s="28"/>
      <c r="C65" s="32" t="s">
        <v>3</v>
      </c>
      <c r="D65" s="33">
        <v>270</v>
      </c>
      <c r="E65" s="27" t="s">
        <v>67</v>
      </c>
      <c r="F65" s="27" t="str">
        <f t="shared" si="1"/>
        <v>ZargenVIONARO H185270Aluminium Natur</v>
      </c>
      <c r="G65" s="28" t="s">
        <v>251</v>
      </c>
      <c r="H65" s="28" t="str">
        <f t="shared" ref="H65:H91" si="4">LEFT(G65,10)</f>
        <v>F135118503</v>
      </c>
      <c r="I65" s="28" t="s">
        <v>252</v>
      </c>
      <c r="J65" s="28" t="s">
        <v>250</v>
      </c>
      <c r="K65" s="28" t="s">
        <v>111</v>
      </c>
    </row>
    <row r="66" spans="1:11" s="33" customFormat="1" x14ac:dyDescent="0.2">
      <c r="A66" s="28" t="s">
        <v>416</v>
      </c>
      <c r="B66" s="28"/>
      <c r="C66" s="32" t="s">
        <v>3</v>
      </c>
      <c r="D66" s="33">
        <v>300</v>
      </c>
      <c r="E66" s="27" t="s">
        <v>67</v>
      </c>
      <c r="F66" s="27" t="str">
        <f t="shared" si="1"/>
        <v>ZargenVIONARO H185300Aluminium Natur</v>
      </c>
      <c r="G66" s="28" t="s">
        <v>253</v>
      </c>
      <c r="H66" s="28" t="str">
        <f t="shared" si="4"/>
        <v>F135118506</v>
      </c>
      <c r="I66" s="28" t="s">
        <v>254</v>
      </c>
      <c r="J66" s="28" t="s">
        <v>250</v>
      </c>
      <c r="K66" s="28" t="s">
        <v>114</v>
      </c>
    </row>
    <row r="67" spans="1:11" s="33" customFormat="1" x14ac:dyDescent="0.2">
      <c r="A67" s="28" t="s">
        <v>416</v>
      </c>
      <c r="B67" s="28"/>
      <c r="C67" s="32" t="s">
        <v>3</v>
      </c>
      <c r="D67" s="33">
        <v>350</v>
      </c>
      <c r="E67" s="27" t="s">
        <v>67</v>
      </c>
      <c r="F67" s="27" t="str">
        <f t="shared" ref="F67:F142" si="5">CONCATENATE(A67,B67,C67,D67,E67)</f>
        <v>ZargenVIONARO H185350Aluminium Natur</v>
      </c>
      <c r="G67" s="28" t="s">
        <v>255</v>
      </c>
      <c r="H67" s="28" t="str">
        <f t="shared" si="4"/>
        <v>F135118512</v>
      </c>
      <c r="I67" s="28" t="s">
        <v>256</v>
      </c>
      <c r="J67" s="28" t="s">
        <v>250</v>
      </c>
      <c r="K67" s="28" t="s">
        <v>117</v>
      </c>
    </row>
    <row r="68" spans="1:11" s="33" customFormat="1" x14ac:dyDescent="0.2">
      <c r="A68" s="28" t="s">
        <v>416</v>
      </c>
      <c r="B68" s="28"/>
      <c r="C68" s="32" t="s">
        <v>3</v>
      </c>
      <c r="D68" s="33">
        <v>400</v>
      </c>
      <c r="E68" s="27" t="s">
        <v>67</v>
      </c>
      <c r="F68" s="27" t="str">
        <f t="shared" si="5"/>
        <v>ZargenVIONARO H185400Aluminium Natur</v>
      </c>
      <c r="G68" s="28" t="s">
        <v>257</v>
      </c>
      <c r="H68" s="28" t="str">
        <f t="shared" si="4"/>
        <v>F135118518</v>
      </c>
      <c r="I68" s="28" t="s">
        <v>258</v>
      </c>
      <c r="J68" s="28" t="s">
        <v>250</v>
      </c>
      <c r="K68" s="28" t="s">
        <v>120</v>
      </c>
    </row>
    <row r="69" spans="1:11" s="33" customFormat="1" x14ac:dyDescent="0.2">
      <c r="A69" s="28" t="s">
        <v>416</v>
      </c>
      <c r="B69" s="28"/>
      <c r="C69" s="32" t="s">
        <v>3</v>
      </c>
      <c r="D69" s="33">
        <v>450</v>
      </c>
      <c r="E69" s="27" t="s">
        <v>67</v>
      </c>
      <c r="F69" s="27" t="str">
        <f t="shared" si="5"/>
        <v>ZargenVIONARO H185450Aluminium Natur</v>
      </c>
      <c r="G69" s="28" t="s">
        <v>259</v>
      </c>
      <c r="H69" s="28" t="str">
        <f t="shared" si="4"/>
        <v>F135118524</v>
      </c>
      <c r="I69" s="28" t="s">
        <v>260</v>
      </c>
      <c r="J69" s="28" t="s">
        <v>250</v>
      </c>
      <c r="K69" s="28" t="s">
        <v>75</v>
      </c>
    </row>
    <row r="70" spans="1:11" s="33" customFormat="1" x14ac:dyDescent="0.2">
      <c r="A70" s="28" t="s">
        <v>416</v>
      </c>
      <c r="B70" s="28"/>
      <c r="C70" s="32" t="s">
        <v>3</v>
      </c>
      <c r="D70" s="33">
        <v>500</v>
      </c>
      <c r="E70" s="27" t="s">
        <v>67</v>
      </c>
      <c r="F70" s="27" t="str">
        <f t="shared" si="5"/>
        <v>ZargenVIONARO H185500Aluminium Natur</v>
      </c>
      <c r="G70" s="28" t="s">
        <v>261</v>
      </c>
      <c r="H70" s="28" t="str">
        <f t="shared" si="4"/>
        <v>F135118530</v>
      </c>
      <c r="I70" s="28" t="s">
        <v>262</v>
      </c>
      <c r="J70" s="28" t="s">
        <v>250</v>
      </c>
      <c r="K70" s="28" t="s">
        <v>78</v>
      </c>
    </row>
    <row r="71" spans="1:11" s="33" customFormat="1" x14ac:dyDescent="0.2">
      <c r="A71" s="28" t="s">
        <v>416</v>
      </c>
      <c r="B71" s="28"/>
      <c r="C71" s="32" t="s">
        <v>3</v>
      </c>
      <c r="D71" s="33">
        <v>550</v>
      </c>
      <c r="E71" s="27" t="s">
        <v>67</v>
      </c>
      <c r="F71" s="27" t="str">
        <f t="shared" si="5"/>
        <v>ZargenVIONARO H185550Aluminium Natur</v>
      </c>
      <c r="G71" s="28" t="s">
        <v>263</v>
      </c>
      <c r="H71" s="28" t="str">
        <f t="shared" si="4"/>
        <v>F135118536</v>
      </c>
      <c r="I71" s="28" t="s">
        <v>264</v>
      </c>
      <c r="J71" s="28" t="s">
        <v>250</v>
      </c>
      <c r="K71" s="28" t="s">
        <v>81</v>
      </c>
    </row>
    <row r="72" spans="1:11" s="33" customFormat="1" x14ac:dyDescent="0.2">
      <c r="A72" s="28" t="s">
        <v>416</v>
      </c>
      <c r="B72" s="28"/>
      <c r="C72" s="32" t="s">
        <v>3</v>
      </c>
      <c r="D72" s="33">
        <v>600</v>
      </c>
      <c r="E72" s="27" t="s">
        <v>67</v>
      </c>
      <c r="F72" s="27" t="str">
        <f t="shared" si="5"/>
        <v>ZargenVIONARO H185600Aluminium Natur</v>
      </c>
      <c r="G72" s="28" t="s">
        <v>265</v>
      </c>
      <c r="H72" s="28" t="str">
        <f t="shared" si="4"/>
        <v>F135118542</v>
      </c>
      <c r="I72" s="28" t="s">
        <v>266</v>
      </c>
      <c r="J72" s="28" t="s">
        <v>250</v>
      </c>
      <c r="K72" s="28" t="s">
        <v>129</v>
      </c>
    </row>
    <row r="73" spans="1:11" s="33" customFormat="1" x14ac:dyDescent="0.2">
      <c r="A73" s="28" t="s">
        <v>416</v>
      </c>
      <c r="B73" s="28"/>
      <c r="C73" s="32" t="s">
        <v>3</v>
      </c>
      <c r="D73" s="33">
        <v>650</v>
      </c>
      <c r="E73" s="27" t="s">
        <v>67</v>
      </c>
      <c r="F73" s="27" t="str">
        <f t="shared" si="5"/>
        <v>ZargenVIONARO H185650Aluminium Natur</v>
      </c>
      <c r="G73" s="28" t="s">
        <v>267</v>
      </c>
      <c r="H73" s="28" t="str">
        <f t="shared" si="4"/>
        <v>F135118545</v>
      </c>
      <c r="I73" s="28" t="s">
        <v>268</v>
      </c>
      <c r="J73" s="28" t="s">
        <v>250</v>
      </c>
      <c r="K73" s="28" t="s">
        <v>132</v>
      </c>
    </row>
    <row r="74" spans="1:11" s="33" customFormat="1" x14ac:dyDescent="0.2">
      <c r="A74" s="28" t="s">
        <v>416</v>
      </c>
      <c r="B74" s="28"/>
      <c r="C74" s="32" t="s">
        <v>3</v>
      </c>
      <c r="D74" s="33">
        <v>270</v>
      </c>
      <c r="E74" s="27" t="s">
        <v>68</v>
      </c>
      <c r="F74" s="27" t="str">
        <f t="shared" si="5"/>
        <v>ZargenVIONARO H185270Silver grey</v>
      </c>
      <c r="G74" s="28" t="s">
        <v>270</v>
      </c>
      <c r="H74" s="28" t="str">
        <f t="shared" si="4"/>
        <v>F135119203</v>
      </c>
      <c r="I74" s="28" t="s">
        <v>271</v>
      </c>
      <c r="J74" s="28" t="s">
        <v>269</v>
      </c>
      <c r="K74" s="28" t="s">
        <v>136</v>
      </c>
    </row>
    <row r="75" spans="1:11" s="33" customFormat="1" x14ac:dyDescent="0.2">
      <c r="A75" s="28" t="s">
        <v>416</v>
      </c>
      <c r="B75" s="28"/>
      <c r="C75" s="32" t="s">
        <v>3</v>
      </c>
      <c r="D75" s="33">
        <v>300</v>
      </c>
      <c r="E75" s="27" t="s">
        <v>68</v>
      </c>
      <c r="F75" s="27" t="str">
        <f t="shared" si="5"/>
        <v>ZargenVIONARO H185300Silver grey</v>
      </c>
      <c r="G75" s="28" t="s">
        <v>272</v>
      </c>
      <c r="H75" s="28" t="str">
        <f t="shared" si="4"/>
        <v>F135119206</v>
      </c>
      <c r="I75" s="28" t="s">
        <v>273</v>
      </c>
      <c r="J75" s="28" t="s">
        <v>269</v>
      </c>
      <c r="K75" s="28" t="s">
        <v>139</v>
      </c>
    </row>
    <row r="76" spans="1:11" s="33" customFormat="1" x14ac:dyDescent="0.2">
      <c r="A76" s="28" t="s">
        <v>416</v>
      </c>
      <c r="B76" s="28"/>
      <c r="C76" s="32" t="s">
        <v>3</v>
      </c>
      <c r="D76" s="33">
        <v>350</v>
      </c>
      <c r="E76" s="27" t="s">
        <v>68</v>
      </c>
      <c r="F76" s="27" t="str">
        <f t="shared" si="5"/>
        <v>ZargenVIONARO H185350Silver grey</v>
      </c>
      <c r="G76" s="28" t="s">
        <v>274</v>
      </c>
      <c r="H76" s="28" t="str">
        <f t="shared" si="4"/>
        <v>F135119212</v>
      </c>
      <c r="I76" s="28" t="s">
        <v>275</v>
      </c>
      <c r="J76" s="28" t="s">
        <v>269</v>
      </c>
      <c r="K76" s="28" t="s">
        <v>142</v>
      </c>
    </row>
    <row r="77" spans="1:11" s="33" customFormat="1" x14ac:dyDescent="0.2">
      <c r="A77" s="28" t="s">
        <v>416</v>
      </c>
      <c r="B77" s="28"/>
      <c r="C77" s="32" t="s">
        <v>3</v>
      </c>
      <c r="D77" s="33">
        <v>400</v>
      </c>
      <c r="E77" s="27" t="s">
        <v>68</v>
      </c>
      <c r="F77" s="27" t="str">
        <f t="shared" si="5"/>
        <v>ZargenVIONARO H185400Silver grey</v>
      </c>
      <c r="G77" s="28" t="s">
        <v>276</v>
      </c>
      <c r="H77" s="28" t="str">
        <f t="shared" si="4"/>
        <v>F135119218</v>
      </c>
      <c r="I77" s="28" t="s">
        <v>277</v>
      </c>
      <c r="J77" s="28" t="s">
        <v>269</v>
      </c>
      <c r="K77" s="28" t="s">
        <v>145</v>
      </c>
    </row>
    <row r="78" spans="1:11" s="33" customFormat="1" x14ac:dyDescent="0.2">
      <c r="A78" s="28" t="s">
        <v>416</v>
      </c>
      <c r="B78" s="28"/>
      <c r="C78" s="32" t="s">
        <v>3</v>
      </c>
      <c r="D78" s="33">
        <v>450</v>
      </c>
      <c r="E78" s="27" t="s">
        <v>68</v>
      </c>
      <c r="F78" s="27" t="str">
        <f t="shared" si="5"/>
        <v>ZargenVIONARO H185450Silver grey</v>
      </c>
      <c r="G78" s="28" t="s">
        <v>278</v>
      </c>
      <c r="H78" s="28" t="str">
        <f t="shared" si="4"/>
        <v>F135119224</v>
      </c>
      <c r="I78" s="28" t="s">
        <v>279</v>
      </c>
      <c r="J78" s="28" t="s">
        <v>269</v>
      </c>
      <c r="K78" s="28" t="s">
        <v>148</v>
      </c>
    </row>
    <row r="79" spans="1:11" s="33" customFormat="1" x14ac:dyDescent="0.2">
      <c r="A79" s="28" t="s">
        <v>416</v>
      </c>
      <c r="B79" s="28"/>
      <c r="C79" s="32" t="s">
        <v>3</v>
      </c>
      <c r="D79" s="33">
        <v>500</v>
      </c>
      <c r="E79" s="27" t="s">
        <v>68</v>
      </c>
      <c r="F79" s="27" t="str">
        <f t="shared" si="5"/>
        <v>ZargenVIONARO H185500Silver grey</v>
      </c>
      <c r="G79" s="28" t="s">
        <v>280</v>
      </c>
      <c r="H79" s="28" t="str">
        <f t="shared" si="4"/>
        <v>F135119230</v>
      </c>
      <c r="I79" s="28" t="s">
        <v>281</v>
      </c>
      <c r="J79" s="28" t="s">
        <v>269</v>
      </c>
      <c r="K79" s="28" t="s">
        <v>151</v>
      </c>
    </row>
    <row r="80" spans="1:11" s="33" customFormat="1" x14ac:dyDescent="0.2">
      <c r="A80" s="28" t="s">
        <v>416</v>
      </c>
      <c r="B80" s="28"/>
      <c r="C80" s="32" t="s">
        <v>3</v>
      </c>
      <c r="D80" s="33">
        <v>550</v>
      </c>
      <c r="E80" s="27" t="s">
        <v>68</v>
      </c>
      <c r="F80" s="27" t="str">
        <f t="shared" si="5"/>
        <v>ZargenVIONARO H185550Silver grey</v>
      </c>
      <c r="G80" s="28" t="s">
        <v>282</v>
      </c>
      <c r="H80" s="28" t="str">
        <f t="shared" si="4"/>
        <v>F135119236</v>
      </c>
      <c r="I80" s="28" t="s">
        <v>283</v>
      </c>
      <c r="J80" s="28" t="s">
        <v>269</v>
      </c>
      <c r="K80" s="28" t="s">
        <v>154</v>
      </c>
    </row>
    <row r="81" spans="1:11" s="33" customFormat="1" x14ac:dyDescent="0.2">
      <c r="A81" s="28" t="s">
        <v>416</v>
      </c>
      <c r="B81" s="28"/>
      <c r="C81" s="32" t="s">
        <v>3</v>
      </c>
      <c r="D81" s="33">
        <v>600</v>
      </c>
      <c r="E81" s="27" t="s">
        <v>68</v>
      </c>
      <c r="F81" s="27" t="str">
        <f t="shared" si="5"/>
        <v>ZargenVIONARO H185600Silver grey</v>
      </c>
      <c r="G81" s="28" t="s">
        <v>284</v>
      </c>
      <c r="H81" s="28" t="str">
        <f t="shared" si="4"/>
        <v>F135119242</v>
      </c>
      <c r="I81" s="28" t="s">
        <v>285</v>
      </c>
      <c r="J81" s="28" t="s">
        <v>269</v>
      </c>
      <c r="K81" s="28" t="s">
        <v>157</v>
      </c>
    </row>
    <row r="82" spans="1:11" s="33" customFormat="1" x14ac:dyDescent="0.2">
      <c r="A82" s="28" t="s">
        <v>416</v>
      </c>
      <c r="B82" s="28"/>
      <c r="C82" s="32" t="s">
        <v>3</v>
      </c>
      <c r="D82" s="33">
        <v>650</v>
      </c>
      <c r="E82" s="27" t="s">
        <v>68</v>
      </c>
      <c r="F82" s="27" t="str">
        <f t="shared" si="5"/>
        <v>ZargenVIONARO H185650Silver grey</v>
      </c>
      <c r="G82" s="28" t="s">
        <v>286</v>
      </c>
      <c r="H82" s="28" t="str">
        <f t="shared" si="4"/>
        <v>F135119245</v>
      </c>
      <c r="I82" s="28" t="s">
        <v>287</v>
      </c>
      <c r="J82" s="28" t="s">
        <v>269</v>
      </c>
      <c r="K82" s="28" t="s">
        <v>160</v>
      </c>
    </row>
    <row r="83" spans="1:11" s="33" customFormat="1" x14ac:dyDescent="0.2">
      <c r="A83" s="28" t="s">
        <v>416</v>
      </c>
      <c r="B83" s="28"/>
      <c r="C83" s="32" t="s">
        <v>3</v>
      </c>
      <c r="D83" s="33">
        <v>270</v>
      </c>
      <c r="E83" s="27" t="s">
        <v>69</v>
      </c>
      <c r="F83" s="27" t="str">
        <f t="shared" si="5"/>
        <v>ZargenVIONARO H185270Graphit</v>
      </c>
      <c r="G83" s="28" t="s">
        <v>288</v>
      </c>
      <c r="H83" s="28" t="str">
        <f t="shared" si="4"/>
        <v>F135119412</v>
      </c>
      <c r="I83" s="28" t="s">
        <v>289</v>
      </c>
      <c r="J83" s="28" t="s">
        <v>269</v>
      </c>
      <c r="K83" s="28" t="s">
        <v>163</v>
      </c>
    </row>
    <row r="84" spans="1:11" s="33" customFormat="1" x14ac:dyDescent="0.2">
      <c r="A84" s="28" t="s">
        <v>416</v>
      </c>
      <c r="B84" s="28"/>
      <c r="C84" s="32" t="s">
        <v>3</v>
      </c>
      <c r="D84" s="33">
        <v>300</v>
      </c>
      <c r="E84" s="27" t="s">
        <v>69</v>
      </c>
      <c r="F84" s="27" t="str">
        <f t="shared" si="5"/>
        <v>ZargenVIONARO H185300Graphit</v>
      </c>
      <c r="G84" s="28" t="s">
        <v>290</v>
      </c>
      <c r="H84" s="28" t="str">
        <f t="shared" si="4"/>
        <v>F135119415</v>
      </c>
      <c r="I84" s="28" t="s">
        <v>291</v>
      </c>
      <c r="J84" s="28" t="s">
        <v>269</v>
      </c>
      <c r="K84" s="28" t="s">
        <v>166</v>
      </c>
    </row>
    <row r="85" spans="1:11" s="33" customFormat="1" x14ac:dyDescent="0.2">
      <c r="A85" s="28" t="s">
        <v>416</v>
      </c>
      <c r="B85" s="28"/>
      <c r="C85" s="32" t="s">
        <v>3</v>
      </c>
      <c r="D85" s="33">
        <v>350</v>
      </c>
      <c r="E85" s="27" t="s">
        <v>69</v>
      </c>
      <c r="F85" s="27" t="str">
        <f t="shared" si="5"/>
        <v>ZargenVIONARO H185350Graphit</v>
      </c>
      <c r="G85" s="28" t="s">
        <v>292</v>
      </c>
      <c r="H85" s="28" t="str">
        <f t="shared" si="4"/>
        <v>F135119421</v>
      </c>
      <c r="I85" s="28" t="s">
        <v>293</v>
      </c>
      <c r="J85" s="28" t="s">
        <v>269</v>
      </c>
      <c r="K85" s="28" t="s">
        <v>169</v>
      </c>
    </row>
    <row r="86" spans="1:11" s="33" customFormat="1" x14ac:dyDescent="0.2">
      <c r="A86" s="28" t="s">
        <v>416</v>
      </c>
      <c r="B86" s="28"/>
      <c r="C86" s="32" t="s">
        <v>3</v>
      </c>
      <c r="D86" s="33">
        <v>400</v>
      </c>
      <c r="E86" s="27" t="s">
        <v>69</v>
      </c>
      <c r="F86" s="27" t="str">
        <f t="shared" si="5"/>
        <v>ZargenVIONARO H185400Graphit</v>
      </c>
      <c r="G86" s="28" t="s">
        <v>294</v>
      </c>
      <c r="H86" s="28" t="str">
        <f t="shared" si="4"/>
        <v>F135119427</v>
      </c>
      <c r="I86" s="28" t="s">
        <v>295</v>
      </c>
      <c r="J86" s="28" t="s">
        <v>269</v>
      </c>
      <c r="K86" s="28" t="s">
        <v>172</v>
      </c>
    </row>
    <row r="87" spans="1:11" s="33" customFormat="1" x14ac:dyDescent="0.2">
      <c r="A87" s="28" t="s">
        <v>416</v>
      </c>
      <c r="B87" s="28"/>
      <c r="C87" s="32" t="s">
        <v>3</v>
      </c>
      <c r="D87" s="33">
        <v>450</v>
      </c>
      <c r="E87" s="27" t="s">
        <v>69</v>
      </c>
      <c r="F87" s="27" t="str">
        <f t="shared" si="5"/>
        <v>ZargenVIONARO H185450Graphit</v>
      </c>
      <c r="G87" s="28" t="s">
        <v>296</v>
      </c>
      <c r="H87" s="28" t="str">
        <f t="shared" si="4"/>
        <v>F135119433</v>
      </c>
      <c r="I87" s="28" t="s">
        <v>297</v>
      </c>
      <c r="J87" s="28" t="s">
        <v>269</v>
      </c>
      <c r="K87" s="28" t="s">
        <v>175</v>
      </c>
    </row>
    <row r="88" spans="1:11" s="33" customFormat="1" x14ac:dyDescent="0.2">
      <c r="A88" s="28" t="s">
        <v>416</v>
      </c>
      <c r="B88" s="28"/>
      <c r="C88" s="32" t="s">
        <v>3</v>
      </c>
      <c r="D88" s="33">
        <v>500</v>
      </c>
      <c r="E88" s="27" t="s">
        <v>69</v>
      </c>
      <c r="F88" s="27" t="str">
        <f t="shared" si="5"/>
        <v>ZargenVIONARO H185500Graphit</v>
      </c>
      <c r="G88" s="28" t="s">
        <v>298</v>
      </c>
      <c r="H88" s="28" t="str">
        <f t="shared" si="4"/>
        <v>F135119442</v>
      </c>
      <c r="I88" s="28" t="s">
        <v>299</v>
      </c>
      <c r="J88" s="28" t="s">
        <v>269</v>
      </c>
      <c r="K88" s="28" t="s">
        <v>178</v>
      </c>
    </row>
    <row r="89" spans="1:11" s="33" customFormat="1" x14ac:dyDescent="0.2">
      <c r="A89" s="28" t="s">
        <v>416</v>
      </c>
      <c r="B89" s="28"/>
      <c r="C89" s="32" t="s">
        <v>3</v>
      </c>
      <c r="D89" s="33">
        <v>550</v>
      </c>
      <c r="E89" s="27" t="s">
        <v>69</v>
      </c>
      <c r="F89" s="27" t="str">
        <f t="shared" si="5"/>
        <v>ZargenVIONARO H185550Graphit</v>
      </c>
      <c r="G89" s="28" t="s">
        <v>300</v>
      </c>
      <c r="H89" s="28" t="str">
        <f t="shared" si="4"/>
        <v>F135119451</v>
      </c>
      <c r="I89" s="28" t="s">
        <v>301</v>
      </c>
      <c r="J89" s="28" t="s">
        <v>269</v>
      </c>
      <c r="K89" s="28" t="s">
        <v>181</v>
      </c>
    </row>
    <row r="90" spans="1:11" s="33" customFormat="1" x14ac:dyDescent="0.2">
      <c r="A90" s="28" t="s">
        <v>416</v>
      </c>
      <c r="B90" s="28"/>
      <c r="C90" s="32" t="s">
        <v>3</v>
      </c>
      <c r="D90" s="33">
        <v>600</v>
      </c>
      <c r="E90" s="27" t="s">
        <v>69</v>
      </c>
      <c r="F90" s="27" t="str">
        <f t="shared" si="5"/>
        <v>ZargenVIONARO H185600Graphit</v>
      </c>
      <c r="G90" s="28" t="s">
        <v>302</v>
      </c>
      <c r="H90" s="28" t="str">
        <f t="shared" si="4"/>
        <v>F135119460</v>
      </c>
      <c r="I90" s="28" t="s">
        <v>303</v>
      </c>
      <c r="J90" s="28" t="s">
        <v>269</v>
      </c>
      <c r="K90" s="28" t="s">
        <v>184</v>
      </c>
    </row>
    <row r="91" spans="1:11" s="33" customFormat="1" x14ac:dyDescent="0.2">
      <c r="A91" s="28" t="s">
        <v>416</v>
      </c>
      <c r="B91" s="28"/>
      <c r="C91" s="32" t="s">
        <v>3</v>
      </c>
      <c r="D91" s="33">
        <v>650</v>
      </c>
      <c r="E91" s="27" t="s">
        <v>69</v>
      </c>
      <c r="F91" s="27" t="str">
        <f t="shared" si="5"/>
        <v>ZargenVIONARO H185650Graphit</v>
      </c>
      <c r="G91" s="28" t="s">
        <v>304</v>
      </c>
      <c r="H91" s="28" t="str">
        <f t="shared" si="4"/>
        <v>F135119463</v>
      </c>
      <c r="I91" s="28" t="s">
        <v>305</v>
      </c>
      <c r="J91" s="28" t="s">
        <v>269</v>
      </c>
      <c r="K91" s="28" t="s">
        <v>187</v>
      </c>
    </row>
    <row r="92" spans="1:11" s="33" customFormat="1" x14ac:dyDescent="0.2">
      <c r="A92" s="28" t="s">
        <v>416</v>
      </c>
      <c r="B92" s="28"/>
      <c r="C92" s="32" t="s">
        <v>3</v>
      </c>
      <c r="D92" s="33">
        <v>270</v>
      </c>
      <c r="E92" s="27" t="s">
        <v>70</v>
      </c>
      <c r="F92" s="27" t="str">
        <f t="shared" si="5"/>
        <v>ZargenVIONARO H185270Snow white</v>
      </c>
      <c r="G92" s="28" t="s">
        <v>306</v>
      </c>
      <c r="H92" s="28" t="str">
        <f t="shared" ref="H92:H135" si="6">LEFT(G92,10)</f>
        <v>F135120803</v>
      </c>
      <c r="I92" s="28" t="s">
        <v>307</v>
      </c>
      <c r="J92" s="28" t="s">
        <v>269</v>
      </c>
      <c r="K92" s="28" t="s">
        <v>190</v>
      </c>
    </row>
    <row r="93" spans="1:11" s="33" customFormat="1" x14ac:dyDescent="0.2">
      <c r="A93" s="28" t="s">
        <v>416</v>
      </c>
      <c r="B93" s="28"/>
      <c r="C93" s="32" t="s">
        <v>3</v>
      </c>
      <c r="D93" s="33">
        <v>300</v>
      </c>
      <c r="E93" s="27" t="s">
        <v>70</v>
      </c>
      <c r="F93" s="27" t="str">
        <f t="shared" si="5"/>
        <v>ZargenVIONARO H185300Snow white</v>
      </c>
      <c r="G93" s="28" t="s">
        <v>308</v>
      </c>
      <c r="H93" s="28" t="str">
        <f t="shared" si="6"/>
        <v>F135120806</v>
      </c>
      <c r="I93" s="28" t="s">
        <v>309</v>
      </c>
      <c r="J93" s="28" t="s">
        <v>269</v>
      </c>
      <c r="K93" s="28" t="s">
        <v>193</v>
      </c>
    </row>
    <row r="94" spans="1:11" s="33" customFormat="1" x14ac:dyDescent="0.2">
      <c r="A94" s="28" t="s">
        <v>416</v>
      </c>
      <c r="B94" s="28"/>
      <c r="C94" s="32" t="s">
        <v>3</v>
      </c>
      <c r="D94" s="33">
        <v>350</v>
      </c>
      <c r="E94" s="27" t="s">
        <v>70</v>
      </c>
      <c r="F94" s="27" t="str">
        <f t="shared" si="5"/>
        <v>ZargenVIONARO H185350Snow white</v>
      </c>
      <c r="G94" s="28" t="s">
        <v>310</v>
      </c>
      <c r="H94" s="28" t="str">
        <f t="shared" si="6"/>
        <v>F135120812</v>
      </c>
      <c r="I94" s="28" t="s">
        <v>311</v>
      </c>
      <c r="J94" s="28" t="s">
        <v>269</v>
      </c>
      <c r="K94" s="28" t="s">
        <v>196</v>
      </c>
    </row>
    <row r="95" spans="1:11" s="33" customFormat="1" x14ac:dyDescent="0.2">
      <c r="A95" s="28" t="s">
        <v>416</v>
      </c>
      <c r="B95" s="28"/>
      <c r="C95" s="32" t="s">
        <v>3</v>
      </c>
      <c r="D95" s="33">
        <v>400</v>
      </c>
      <c r="E95" s="27" t="s">
        <v>70</v>
      </c>
      <c r="F95" s="27" t="str">
        <f t="shared" si="5"/>
        <v>ZargenVIONARO H185400Snow white</v>
      </c>
      <c r="G95" s="28" t="s">
        <v>312</v>
      </c>
      <c r="H95" s="28" t="str">
        <f t="shared" si="6"/>
        <v>F135120818</v>
      </c>
      <c r="I95" s="28" t="s">
        <v>313</v>
      </c>
      <c r="J95" s="28" t="s">
        <v>269</v>
      </c>
      <c r="K95" s="28" t="s">
        <v>199</v>
      </c>
    </row>
    <row r="96" spans="1:11" s="33" customFormat="1" x14ac:dyDescent="0.2">
      <c r="A96" s="28" t="s">
        <v>416</v>
      </c>
      <c r="B96" s="28"/>
      <c r="C96" s="32" t="s">
        <v>3</v>
      </c>
      <c r="D96" s="33">
        <v>450</v>
      </c>
      <c r="E96" s="27" t="s">
        <v>70</v>
      </c>
      <c r="F96" s="27" t="str">
        <f t="shared" si="5"/>
        <v>ZargenVIONARO H185450Snow white</v>
      </c>
      <c r="G96" s="28" t="s">
        <v>314</v>
      </c>
      <c r="H96" s="28" t="str">
        <f t="shared" si="6"/>
        <v>F135120824</v>
      </c>
      <c r="I96" s="28" t="s">
        <v>315</v>
      </c>
      <c r="J96" s="28" t="s">
        <v>269</v>
      </c>
      <c r="K96" s="28" t="s">
        <v>202</v>
      </c>
    </row>
    <row r="97" spans="1:11" s="33" customFormat="1" x14ac:dyDescent="0.2">
      <c r="A97" s="28" t="s">
        <v>416</v>
      </c>
      <c r="B97" s="28"/>
      <c r="C97" s="32" t="s">
        <v>3</v>
      </c>
      <c r="D97" s="33">
        <v>500</v>
      </c>
      <c r="E97" s="27" t="s">
        <v>70</v>
      </c>
      <c r="F97" s="27" t="str">
        <f t="shared" si="5"/>
        <v>ZargenVIONARO H185500Snow white</v>
      </c>
      <c r="G97" s="28" t="s">
        <v>316</v>
      </c>
      <c r="H97" s="28" t="str">
        <f t="shared" si="6"/>
        <v>F135120833</v>
      </c>
      <c r="I97" s="28" t="s">
        <v>317</v>
      </c>
      <c r="J97" s="28" t="s">
        <v>269</v>
      </c>
      <c r="K97" s="28" t="s">
        <v>205</v>
      </c>
    </row>
    <row r="98" spans="1:11" s="33" customFormat="1" x14ac:dyDescent="0.2">
      <c r="A98" s="28" t="s">
        <v>416</v>
      </c>
      <c r="B98" s="28"/>
      <c r="C98" s="32" t="s">
        <v>3</v>
      </c>
      <c r="D98" s="33">
        <v>550</v>
      </c>
      <c r="E98" s="27" t="s">
        <v>70</v>
      </c>
      <c r="F98" s="27" t="str">
        <f t="shared" si="5"/>
        <v>ZargenVIONARO H185550Snow white</v>
      </c>
      <c r="G98" s="28" t="s">
        <v>318</v>
      </c>
      <c r="H98" s="28" t="str">
        <f t="shared" si="6"/>
        <v>F135120842</v>
      </c>
      <c r="I98" s="28" t="s">
        <v>319</v>
      </c>
      <c r="J98" s="28" t="s">
        <v>269</v>
      </c>
      <c r="K98" s="28" t="s">
        <v>208</v>
      </c>
    </row>
    <row r="99" spans="1:11" s="33" customFormat="1" x14ac:dyDescent="0.2">
      <c r="A99" s="28" t="s">
        <v>416</v>
      </c>
      <c r="B99" s="28"/>
      <c r="C99" s="32" t="s">
        <v>3</v>
      </c>
      <c r="D99" s="33">
        <v>600</v>
      </c>
      <c r="E99" s="27" t="s">
        <v>70</v>
      </c>
      <c r="F99" s="27" t="str">
        <f t="shared" si="5"/>
        <v>ZargenVIONARO H185600Snow white</v>
      </c>
      <c r="G99" s="28" t="s">
        <v>320</v>
      </c>
      <c r="H99" s="28" t="str">
        <f t="shared" si="6"/>
        <v>F135120851</v>
      </c>
      <c r="I99" s="28" t="s">
        <v>321</v>
      </c>
      <c r="J99" s="28" t="s">
        <v>269</v>
      </c>
      <c r="K99" s="28" t="s">
        <v>211</v>
      </c>
    </row>
    <row r="100" spans="1:11" s="33" customFormat="1" x14ac:dyDescent="0.2">
      <c r="A100" s="28" t="s">
        <v>416</v>
      </c>
      <c r="B100" s="28"/>
      <c r="C100" s="32" t="s">
        <v>3</v>
      </c>
      <c r="D100" s="33">
        <v>650</v>
      </c>
      <c r="E100" s="27" t="s">
        <v>70</v>
      </c>
      <c r="F100" s="27" t="str">
        <f t="shared" si="5"/>
        <v>ZargenVIONARO H185650Snow white</v>
      </c>
      <c r="G100" s="28" t="s">
        <v>322</v>
      </c>
      <c r="H100" s="28" t="str">
        <f t="shared" si="6"/>
        <v>F135120854</v>
      </c>
      <c r="I100" s="28" t="s">
        <v>323</v>
      </c>
      <c r="J100" s="28" t="s">
        <v>269</v>
      </c>
      <c r="K100" s="28" t="s">
        <v>214</v>
      </c>
    </row>
    <row r="101" spans="1:11" s="33" customFormat="1" x14ac:dyDescent="0.2">
      <c r="A101" s="28" t="s">
        <v>417</v>
      </c>
      <c r="B101" s="28"/>
      <c r="C101" s="32" t="s">
        <v>1</v>
      </c>
      <c r="E101" s="27" t="s">
        <v>67</v>
      </c>
      <c r="F101" s="27" t="str">
        <f t="shared" si="5"/>
        <v>InnenblendeVIONARO H89Aluminium Natur</v>
      </c>
      <c r="G101" s="30" t="s">
        <v>326</v>
      </c>
      <c r="H101" s="28" t="str">
        <f t="shared" si="6"/>
        <v>F136120395</v>
      </c>
      <c r="I101" s="28" t="s">
        <v>324</v>
      </c>
      <c r="J101" s="28" t="s">
        <v>325</v>
      </c>
      <c r="K101" s="28" t="s">
        <v>327</v>
      </c>
    </row>
    <row r="102" spans="1:11" s="33" customFormat="1" x14ac:dyDescent="0.2">
      <c r="A102" s="28" t="s">
        <v>417</v>
      </c>
      <c r="B102" s="28"/>
      <c r="C102" s="32" t="s">
        <v>1</v>
      </c>
      <c r="E102" s="27" t="s">
        <v>68</v>
      </c>
      <c r="F102" s="27" t="str">
        <f t="shared" si="5"/>
        <v>InnenblendeVIONARO H89Silver grey</v>
      </c>
      <c r="G102" s="28" t="s">
        <v>329</v>
      </c>
      <c r="H102" s="28" t="str">
        <f t="shared" si="6"/>
        <v>F136122619</v>
      </c>
      <c r="I102" s="28" t="s">
        <v>328</v>
      </c>
      <c r="J102" s="28" t="s">
        <v>325</v>
      </c>
      <c r="K102" s="28" t="s">
        <v>330</v>
      </c>
    </row>
    <row r="103" spans="1:11" s="33" customFormat="1" x14ac:dyDescent="0.2">
      <c r="A103" s="28" t="s">
        <v>417</v>
      </c>
      <c r="B103" s="28"/>
      <c r="C103" s="32" t="s">
        <v>1</v>
      </c>
      <c r="E103" s="27" t="s">
        <v>69</v>
      </c>
      <c r="F103" s="27" t="str">
        <f t="shared" si="5"/>
        <v>InnenblendeVIONARO H89Graphit</v>
      </c>
      <c r="G103" s="28" t="s">
        <v>332</v>
      </c>
      <c r="H103" s="28" t="str">
        <f t="shared" si="6"/>
        <v>F136120538</v>
      </c>
      <c r="I103" s="28" t="s">
        <v>331</v>
      </c>
      <c r="J103" s="28" t="s">
        <v>325</v>
      </c>
      <c r="K103" s="28" t="s">
        <v>333</v>
      </c>
    </row>
    <row r="104" spans="1:11" s="33" customFormat="1" x14ac:dyDescent="0.2">
      <c r="A104" s="28" t="s">
        <v>417</v>
      </c>
      <c r="B104" s="28"/>
      <c r="C104" s="32" t="s">
        <v>1</v>
      </c>
      <c r="E104" s="27" t="s">
        <v>70</v>
      </c>
      <c r="F104" s="27" t="str">
        <f t="shared" si="5"/>
        <v>InnenblendeVIONARO H89Snow white</v>
      </c>
      <c r="G104" s="31" t="s">
        <v>335</v>
      </c>
      <c r="H104" s="28" t="str">
        <f t="shared" si="6"/>
        <v>F136120569</v>
      </c>
      <c r="I104" s="28" t="s">
        <v>334</v>
      </c>
      <c r="J104" s="28" t="s">
        <v>325</v>
      </c>
      <c r="K104" s="28" t="s">
        <v>336</v>
      </c>
    </row>
    <row r="105" spans="1:11" s="33" customFormat="1" x14ac:dyDescent="0.2">
      <c r="A105" s="28" t="s">
        <v>417</v>
      </c>
      <c r="B105" s="28"/>
      <c r="C105" s="32" t="s">
        <v>3</v>
      </c>
      <c r="E105" s="27" t="s">
        <v>67</v>
      </c>
      <c r="F105" s="27" t="str">
        <f t="shared" si="5"/>
        <v>InnenblendeVIONARO H185Aluminium Natur</v>
      </c>
      <c r="G105" s="30" t="s">
        <v>339</v>
      </c>
      <c r="H105" s="28" t="str">
        <f t="shared" si="6"/>
        <v>F136120420</v>
      </c>
      <c r="I105" s="28" t="s">
        <v>337</v>
      </c>
      <c r="J105" s="28" t="s">
        <v>338</v>
      </c>
      <c r="K105" s="28" t="s">
        <v>327</v>
      </c>
    </row>
    <row r="106" spans="1:11" s="33" customFormat="1" x14ac:dyDescent="0.2">
      <c r="A106" s="28" t="s">
        <v>417</v>
      </c>
      <c r="B106" s="28"/>
      <c r="C106" s="32" t="s">
        <v>3</v>
      </c>
      <c r="E106" s="27" t="s">
        <v>68</v>
      </c>
      <c r="F106" s="27" t="str">
        <f t="shared" si="5"/>
        <v>InnenblendeVIONARO H185Silver grey</v>
      </c>
      <c r="G106" s="28" t="s">
        <v>341</v>
      </c>
      <c r="H106" s="28" t="str">
        <f t="shared" si="6"/>
        <v>F136122669</v>
      </c>
      <c r="I106" s="28" t="s">
        <v>340</v>
      </c>
      <c r="J106" s="28" t="s">
        <v>338</v>
      </c>
      <c r="K106" s="28" t="s">
        <v>342</v>
      </c>
    </row>
    <row r="107" spans="1:11" s="33" customFormat="1" x14ac:dyDescent="0.2">
      <c r="A107" s="28" t="s">
        <v>417</v>
      </c>
      <c r="B107" s="28"/>
      <c r="C107" s="32" t="s">
        <v>3</v>
      </c>
      <c r="E107" s="27" t="s">
        <v>69</v>
      </c>
      <c r="F107" s="27" t="str">
        <f t="shared" si="5"/>
        <v>InnenblendeVIONARO H185Graphit</v>
      </c>
      <c r="G107" s="30" t="s">
        <v>344</v>
      </c>
      <c r="H107" s="28" t="str">
        <f t="shared" si="6"/>
        <v>F136120539</v>
      </c>
      <c r="I107" s="28" t="s">
        <v>343</v>
      </c>
      <c r="J107" s="28" t="s">
        <v>338</v>
      </c>
      <c r="K107" s="28" t="s">
        <v>333</v>
      </c>
    </row>
    <row r="108" spans="1:11" s="33" customFormat="1" x14ac:dyDescent="0.2">
      <c r="A108" s="28" t="s">
        <v>417</v>
      </c>
      <c r="B108" s="28"/>
      <c r="C108" s="32" t="s">
        <v>3</v>
      </c>
      <c r="E108" s="27" t="s">
        <v>70</v>
      </c>
      <c r="F108" s="27" t="str">
        <f t="shared" si="5"/>
        <v>InnenblendeVIONARO H185Snow white</v>
      </c>
      <c r="G108" s="31" t="s">
        <v>346</v>
      </c>
      <c r="H108" s="28" t="str">
        <f t="shared" si="6"/>
        <v>F136120589</v>
      </c>
      <c r="I108" s="28" t="s">
        <v>345</v>
      </c>
      <c r="J108" s="28" t="s">
        <v>338</v>
      </c>
      <c r="K108" s="28" t="s">
        <v>336</v>
      </c>
    </row>
    <row r="109" spans="1:11" s="33" customFormat="1" x14ac:dyDescent="0.2">
      <c r="A109" s="28" t="s">
        <v>418</v>
      </c>
      <c r="B109" s="28" t="s">
        <v>421</v>
      </c>
      <c r="C109" s="32" t="s">
        <v>0</v>
      </c>
      <c r="E109" s="27" t="s">
        <v>68</v>
      </c>
      <c r="F109" s="27" t="str">
        <f t="shared" si="5"/>
        <v>BefestigungAnschraubenVIONARO H63Silver grey</v>
      </c>
      <c r="G109" s="31" t="s">
        <v>347</v>
      </c>
      <c r="H109" s="28" t="str">
        <f t="shared" si="6"/>
        <v>F136101003</v>
      </c>
      <c r="I109" s="28" t="s">
        <v>348</v>
      </c>
      <c r="J109" s="28" t="s">
        <v>349</v>
      </c>
      <c r="K109" s="28" t="s">
        <v>350</v>
      </c>
    </row>
    <row r="110" spans="1:11" s="33" customFormat="1" x14ac:dyDescent="0.2">
      <c r="A110" s="28" t="s">
        <v>418</v>
      </c>
      <c r="B110" s="28" t="s">
        <v>421</v>
      </c>
      <c r="C110" s="32" t="s">
        <v>0</v>
      </c>
      <c r="E110" s="27" t="s">
        <v>69</v>
      </c>
      <c r="F110" s="27" t="str">
        <f t="shared" si="5"/>
        <v>BefestigungAnschraubenVIONARO H63Graphit</v>
      </c>
      <c r="G110" s="31" t="s">
        <v>351</v>
      </c>
      <c r="H110" s="28" t="str">
        <f t="shared" si="6"/>
        <v>F136101004</v>
      </c>
      <c r="I110" s="28" t="s">
        <v>352</v>
      </c>
      <c r="J110" s="28" t="s">
        <v>349</v>
      </c>
      <c r="K110" s="28" t="s">
        <v>353</v>
      </c>
    </row>
    <row r="111" spans="1:11" s="33" customFormat="1" x14ac:dyDescent="0.2">
      <c r="A111" s="28" t="s">
        <v>418</v>
      </c>
      <c r="B111" s="28" t="s">
        <v>421</v>
      </c>
      <c r="C111" s="32" t="s">
        <v>0</v>
      </c>
      <c r="E111" s="27" t="s">
        <v>70</v>
      </c>
      <c r="F111" s="27" t="str">
        <f t="shared" si="5"/>
        <v>BefestigungAnschraubenVIONARO H63Snow white</v>
      </c>
      <c r="G111" s="31" t="s">
        <v>354</v>
      </c>
      <c r="H111" s="28" t="str">
        <f t="shared" si="6"/>
        <v>F136101005</v>
      </c>
      <c r="I111" s="28" t="s">
        <v>355</v>
      </c>
      <c r="J111" s="28" t="s">
        <v>349</v>
      </c>
      <c r="K111" s="28" t="s">
        <v>356</v>
      </c>
    </row>
    <row r="112" spans="1:11" s="33" customFormat="1" x14ac:dyDescent="0.2">
      <c r="A112" s="28" t="s">
        <v>418</v>
      </c>
      <c r="B112" s="28" t="s">
        <v>421</v>
      </c>
      <c r="C112" s="32" t="s">
        <v>1</v>
      </c>
      <c r="E112" s="27" t="s">
        <v>68</v>
      </c>
      <c r="F112" s="27" t="str">
        <f t="shared" si="5"/>
        <v>BefestigungAnschraubenVIONARO H89Silver grey</v>
      </c>
      <c r="G112" s="30" t="s">
        <v>357</v>
      </c>
      <c r="H112" s="28" t="str">
        <f t="shared" si="6"/>
        <v>F136100121</v>
      </c>
      <c r="I112" s="28" t="s">
        <v>358</v>
      </c>
      <c r="J112" s="28" t="s">
        <v>359</v>
      </c>
      <c r="K112" s="28" t="s">
        <v>360</v>
      </c>
    </row>
    <row r="113" spans="1:11" s="33" customFormat="1" x14ac:dyDescent="0.2">
      <c r="A113" s="28" t="s">
        <v>418</v>
      </c>
      <c r="B113" s="28" t="s">
        <v>423</v>
      </c>
      <c r="C113" s="32" t="s">
        <v>1</v>
      </c>
      <c r="E113" s="27" t="s">
        <v>68</v>
      </c>
      <c r="F113" s="27" t="str">
        <f t="shared" si="5"/>
        <v>BefestigungSpreizdübel Ø 8 mmVIONARO H89Silver grey</v>
      </c>
      <c r="G113" s="30" t="s">
        <v>361</v>
      </c>
      <c r="H113" s="28" t="str">
        <f t="shared" si="6"/>
        <v>F136100122</v>
      </c>
      <c r="I113" s="28" t="s">
        <v>362</v>
      </c>
      <c r="J113" s="28" t="s">
        <v>359</v>
      </c>
      <c r="K113" s="28" t="s">
        <v>363</v>
      </c>
    </row>
    <row r="114" spans="1:11" s="33" customFormat="1" x14ac:dyDescent="0.2">
      <c r="A114" s="28" t="s">
        <v>418</v>
      </c>
      <c r="B114" s="28" t="s">
        <v>421</v>
      </c>
      <c r="C114" s="32" t="s">
        <v>1</v>
      </c>
      <c r="E114" s="27" t="s">
        <v>69</v>
      </c>
      <c r="F114" s="27" t="str">
        <f t="shared" si="5"/>
        <v>BefestigungAnschraubenVIONARO H89Graphit</v>
      </c>
      <c r="G114" s="28" t="s">
        <v>364</v>
      </c>
      <c r="H114" s="28" t="str">
        <f t="shared" si="6"/>
        <v>F136100123</v>
      </c>
      <c r="I114" s="28" t="s">
        <v>365</v>
      </c>
      <c r="J114" s="28" t="s">
        <v>359</v>
      </c>
      <c r="K114" s="28" t="s">
        <v>366</v>
      </c>
    </row>
    <row r="115" spans="1:11" s="33" customFormat="1" x14ac:dyDescent="0.2">
      <c r="A115" s="28" t="s">
        <v>418</v>
      </c>
      <c r="B115" s="28" t="s">
        <v>423</v>
      </c>
      <c r="C115" s="32" t="s">
        <v>1</v>
      </c>
      <c r="E115" s="27" t="s">
        <v>69</v>
      </c>
      <c r="F115" s="27" t="str">
        <f t="shared" si="5"/>
        <v>BefestigungSpreizdübel Ø 8 mmVIONARO H89Graphit</v>
      </c>
      <c r="G115" s="30" t="s">
        <v>367</v>
      </c>
      <c r="H115" s="28" t="str">
        <f t="shared" si="6"/>
        <v>F136100124</v>
      </c>
      <c r="I115" s="28" t="s">
        <v>368</v>
      </c>
      <c r="J115" s="28" t="s">
        <v>359</v>
      </c>
      <c r="K115" s="28" t="s">
        <v>369</v>
      </c>
    </row>
    <row r="116" spans="1:11" s="33" customFormat="1" x14ac:dyDescent="0.2">
      <c r="A116" s="28" t="s">
        <v>418</v>
      </c>
      <c r="B116" s="28" t="s">
        <v>421</v>
      </c>
      <c r="C116" s="32" t="s">
        <v>1</v>
      </c>
      <c r="E116" s="27" t="s">
        <v>70</v>
      </c>
      <c r="F116" s="27" t="str">
        <f t="shared" si="5"/>
        <v>BefestigungAnschraubenVIONARO H89Snow white</v>
      </c>
      <c r="G116" s="28" t="s">
        <v>370</v>
      </c>
      <c r="H116" s="28" t="str">
        <f t="shared" si="6"/>
        <v>F136100125</v>
      </c>
      <c r="I116" s="28" t="s">
        <v>371</v>
      </c>
      <c r="J116" s="28" t="s">
        <v>359</v>
      </c>
      <c r="K116" s="28" t="s">
        <v>372</v>
      </c>
    </row>
    <row r="117" spans="1:11" s="33" customFormat="1" x14ac:dyDescent="0.2">
      <c r="A117" s="28" t="s">
        <v>418</v>
      </c>
      <c r="B117" s="28" t="s">
        <v>423</v>
      </c>
      <c r="C117" s="32" t="s">
        <v>1</v>
      </c>
      <c r="E117" s="27" t="s">
        <v>70</v>
      </c>
      <c r="F117" s="27" t="str">
        <f t="shared" si="5"/>
        <v>BefestigungSpreizdübel Ø 8 mmVIONARO H89Snow white</v>
      </c>
      <c r="G117" s="28" t="s">
        <v>373</v>
      </c>
      <c r="H117" s="28" t="str">
        <f t="shared" si="6"/>
        <v>F136100126</v>
      </c>
      <c r="I117" s="28" t="s">
        <v>374</v>
      </c>
      <c r="J117" s="28" t="s">
        <v>359</v>
      </c>
      <c r="K117" s="28" t="s">
        <v>375</v>
      </c>
    </row>
    <row r="118" spans="1:11" s="33" customFormat="1" x14ac:dyDescent="0.2">
      <c r="A118" s="28" t="s">
        <v>418</v>
      </c>
      <c r="B118" s="28" t="s">
        <v>421</v>
      </c>
      <c r="C118" s="32" t="s">
        <v>2</v>
      </c>
      <c r="E118" s="27" t="s">
        <v>68</v>
      </c>
      <c r="F118" s="27" t="str">
        <f t="shared" ref="F118:F123" si="7">CONCATENATE(A118,B118,C118,D118,E118)</f>
        <v>BefestigungAnschraubenVIONARO H121Silver grey</v>
      </c>
      <c r="G118" s="30" t="s">
        <v>357</v>
      </c>
      <c r="H118" s="28" t="str">
        <f t="shared" si="6"/>
        <v>F136100121</v>
      </c>
      <c r="I118" s="28" t="s">
        <v>358</v>
      </c>
      <c r="J118" s="28" t="s">
        <v>359</v>
      </c>
      <c r="K118" s="28" t="s">
        <v>360</v>
      </c>
    </row>
    <row r="119" spans="1:11" s="33" customFormat="1" x14ac:dyDescent="0.2">
      <c r="A119" s="28" t="s">
        <v>418</v>
      </c>
      <c r="B119" s="28" t="s">
        <v>423</v>
      </c>
      <c r="C119" s="32" t="s">
        <v>2</v>
      </c>
      <c r="E119" s="27" t="s">
        <v>68</v>
      </c>
      <c r="F119" s="27" t="str">
        <f t="shared" si="7"/>
        <v>BefestigungSpreizdübel Ø 8 mmVIONARO H121Silver grey</v>
      </c>
      <c r="G119" s="30" t="s">
        <v>361</v>
      </c>
      <c r="H119" s="28" t="str">
        <f t="shared" si="6"/>
        <v>F136100122</v>
      </c>
      <c r="I119" s="28" t="s">
        <v>362</v>
      </c>
      <c r="J119" s="28" t="s">
        <v>359</v>
      </c>
      <c r="K119" s="28" t="s">
        <v>363</v>
      </c>
    </row>
    <row r="120" spans="1:11" s="33" customFormat="1" x14ac:dyDescent="0.2">
      <c r="A120" s="28" t="s">
        <v>418</v>
      </c>
      <c r="B120" s="28" t="s">
        <v>421</v>
      </c>
      <c r="C120" s="32" t="s">
        <v>2</v>
      </c>
      <c r="E120" s="27" t="s">
        <v>69</v>
      </c>
      <c r="F120" s="27" t="str">
        <f t="shared" si="7"/>
        <v>BefestigungAnschraubenVIONARO H121Graphit</v>
      </c>
      <c r="G120" s="28" t="s">
        <v>364</v>
      </c>
      <c r="H120" s="28" t="str">
        <f t="shared" si="6"/>
        <v>F136100123</v>
      </c>
      <c r="I120" s="28" t="s">
        <v>365</v>
      </c>
      <c r="J120" s="28" t="s">
        <v>359</v>
      </c>
      <c r="K120" s="28" t="s">
        <v>366</v>
      </c>
    </row>
    <row r="121" spans="1:11" s="33" customFormat="1" x14ac:dyDescent="0.2">
      <c r="A121" s="28" t="s">
        <v>418</v>
      </c>
      <c r="B121" s="28" t="s">
        <v>423</v>
      </c>
      <c r="C121" s="32" t="s">
        <v>2</v>
      </c>
      <c r="E121" s="27" t="s">
        <v>69</v>
      </c>
      <c r="F121" s="27" t="str">
        <f t="shared" si="7"/>
        <v>BefestigungSpreizdübel Ø 8 mmVIONARO H121Graphit</v>
      </c>
      <c r="G121" s="30" t="s">
        <v>367</v>
      </c>
      <c r="H121" s="28" t="str">
        <f t="shared" si="6"/>
        <v>F136100124</v>
      </c>
      <c r="I121" s="28" t="s">
        <v>368</v>
      </c>
      <c r="J121" s="28" t="s">
        <v>359</v>
      </c>
      <c r="K121" s="28" t="s">
        <v>369</v>
      </c>
    </row>
    <row r="122" spans="1:11" s="33" customFormat="1" x14ac:dyDescent="0.2">
      <c r="A122" s="28" t="s">
        <v>418</v>
      </c>
      <c r="B122" s="28" t="s">
        <v>421</v>
      </c>
      <c r="C122" s="32" t="s">
        <v>2</v>
      </c>
      <c r="E122" s="27" t="s">
        <v>70</v>
      </c>
      <c r="F122" s="27" t="str">
        <f t="shared" si="7"/>
        <v>BefestigungAnschraubenVIONARO H121Snow white</v>
      </c>
      <c r="G122" s="28" t="s">
        <v>370</v>
      </c>
      <c r="H122" s="28" t="str">
        <f t="shared" si="6"/>
        <v>F136100125</v>
      </c>
      <c r="I122" s="28" t="s">
        <v>371</v>
      </c>
      <c r="J122" s="28" t="s">
        <v>359</v>
      </c>
      <c r="K122" s="28" t="s">
        <v>372</v>
      </c>
    </row>
    <row r="123" spans="1:11" s="33" customFormat="1" x14ac:dyDescent="0.2">
      <c r="A123" s="28" t="s">
        <v>418</v>
      </c>
      <c r="B123" s="28" t="s">
        <v>423</v>
      </c>
      <c r="C123" s="32" t="s">
        <v>2</v>
      </c>
      <c r="E123" s="27" t="s">
        <v>70</v>
      </c>
      <c r="F123" s="27" t="str">
        <f t="shared" si="7"/>
        <v>BefestigungSpreizdübel Ø 8 mmVIONARO H121Snow white</v>
      </c>
      <c r="G123" s="28" t="s">
        <v>373</v>
      </c>
      <c r="H123" s="28" t="str">
        <f t="shared" si="6"/>
        <v>F136100126</v>
      </c>
      <c r="I123" s="28" t="s">
        <v>374</v>
      </c>
      <c r="J123" s="28" t="s">
        <v>359</v>
      </c>
      <c r="K123" s="28" t="s">
        <v>375</v>
      </c>
    </row>
    <row r="124" spans="1:11" s="33" customFormat="1" x14ac:dyDescent="0.2">
      <c r="A124" s="28" t="s">
        <v>418</v>
      </c>
      <c r="B124" s="28" t="s">
        <v>421</v>
      </c>
      <c r="C124" s="32" t="s">
        <v>3</v>
      </c>
      <c r="E124" s="27" t="s">
        <v>68</v>
      </c>
      <c r="F124" s="27" t="str">
        <f t="shared" si="5"/>
        <v>BefestigungAnschraubenVIONARO H185Silver grey</v>
      </c>
      <c r="G124" s="30" t="s">
        <v>376</v>
      </c>
      <c r="H124" s="28" t="str">
        <f t="shared" si="6"/>
        <v>F136100310</v>
      </c>
      <c r="I124" s="28" t="s">
        <v>377</v>
      </c>
      <c r="J124" s="28" t="s">
        <v>378</v>
      </c>
      <c r="K124" s="28" t="s">
        <v>360</v>
      </c>
    </row>
    <row r="125" spans="1:11" s="33" customFormat="1" x14ac:dyDescent="0.2">
      <c r="A125" s="28" t="s">
        <v>418</v>
      </c>
      <c r="B125" s="28" t="s">
        <v>423</v>
      </c>
      <c r="C125" s="32" t="s">
        <v>3</v>
      </c>
      <c r="E125" s="27" t="s">
        <v>68</v>
      </c>
      <c r="F125" s="27" t="str">
        <f t="shared" si="5"/>
        <v>BefestigungSpreizdübel Ø 8 mmVIONARO H185Silver grey</v>
      </c>
      <c r="G125" s="30" t="s">
        <v>379</v>
      </c>
      <c r="H125" s="28" t="str">
        <f t="shared" si="6"/>
        <v>F136100311</v>
      </c>
      <c r="I125" s="28" t="s">
        <v>380</v>
      </c>
      <c r="J125" s="28" t="s">
        <v>378</v>
      </c>
      <c r="K125" s="28" t="s">
        <v>363</v>
      </c>
    </row>
    <row r="126" spans="1:11" s="33" customFormat="1" x14ac:dyDescent="0.2">
      <c r="A126" s="28" t="s">
        <v>418</v>
      </c>
      <c r="B126" s="28" t="s">
        <v>421</v>
      </c>
      <c r="C126" s="32" t="s">
        <v>3</v>
      </c>
      <c r="E126" s="27" t="s">
        <v>69</v>
      </c>
      <c r="F126" s="27" t="str">
        <f t="shared" si="5"/>
        <v>BefestigungAnschraubenVIONARO H185Graphit</v>
      </c>
      <c r="G126" s="28" t="s">
        <v>381</v>
      </c>
      <c r="H126" s="28" t="str">
        <f t="shared" si="6"/>
        <v>F136100312</v>
      </c>
      <c r="I126" s="28" t="s">
        <v>382</v>
      </c>
      <c r="J126" s="28" t="s">
        <v>378</v>
      </c>
      <c r="K126" s="28" t="s">
        <v>366</v>
      </c>
    </row>
    <row r="127" spans="1:11" s="33" customFormat="1" x14ac:dyDescent="0.2">
      <c r="A127" s="28" t="s">
        <v>418</v>
      </c>
      <c r="B127" s="28" t="s">
        <v>423</v>
      </c>
      <c r="C127" s="32" t="s">
        <v>3</v>
      </c>
      <c r="E127" s="27" t="s">
        <v>69</v>
      </c>
      <c r="F127" s="27" t="str">
        <f t="shared" si="5"/>
        <v>BefestigungSpreizdübel Ø 8 mmVIONARO H185Graphit</v>
      </c>
      <c r="G127" s="28" t="s">
        <v>383</v>
      </c>
      <c r="H127" s="28" t="str">
        <f t="shared" si="6"/>
        <v>F136100313</v>
      </c>
      <c r="I127" s="28" t="s">
        <v>384</v>
      </c>
      <c r="J127" s="28" t="s">
        <v>378</v>
      </c>
      <c r="K127" s="28" t="s">
        <v>369</v>
      </c>
    </row>
    <row r="128" spans="1:11" s="33" customFormat="1" x14ac:dyDescent="0.2">
      <c r="A128" s="28" t="s">
        <v>418</v>
      </c>
      <c r="B128" s="28" t="s">
        <v>421</v>
      </c>
      <c r="C128" s="32" t="s">
        <v>3</v>
      </c>
      <c r="E128" s="27" t="s">
        <v>70</v>
      </c>
      <c r="F128" s="27" t="str">
        <f t="shared" si="5"/>
        <v>BefestigungAnschraubenVIONARO H185Snow white</v>
      </c>
      <c r="G128" s="28" t="s">
        <v>385</v>
      </c>
      <c r="H128" s="28" t="str">
        <f t="shared" si="6"/>
        <v>F136100314</v>
      </c>
      <c r="I128" s="28" t="s">
        <v>386</v>
      </c>
      <c r="J128" s="28" t="s">
        <v>378</v>
      </c>
      <c r="K128" s="28" t="s">
        <v>372</v>
      </c>
    </row>
    <row r="129" spans="1:12" s="33" customFormat="1" x14ac:dyDescent="0.2">
      <c r="A129" s="28" t="s">
        <v>418</v>
      </c>
      <c r="B129" s="28" t="s">
        <v>423</v>
      </c>
      <c r="C129" s="32" t="s">
        <v>3</v>
      </c>
      <c r="E129" s="27" t="s">
        <v>70</v>
      </c>
      <c r="F129" s="27" t="str">
        <f t="shared" si="5"/>
        <v>BefestigungSpreizdübel Ø 8 mmVIONARO H185Snow white</v>
      </c>
      <c r="G129" s="28" t="s">
        <v>387</v>
      </c>
      <c r="H129" s="28" t="str">
        <f t="shared" si="6"/>
        <v>F136100315</v>
      </c>
      <c r="I129" s="28" t="s">
        <v>388</v>
      </c>
      <c r="J129" s="28" t="s">
        <v>378</v>
      </c>
      <c r="K129" s="28" t="s">
        <v>375</v>
      </c>
    </row>
    <row r="130" spans="1:12" s="33" customFormat="1" x14ac:dyDescent="0.2">
      <c r="A130" s="28" t="s">
        <v>418</v>
      </c>
      <c r="B130" s="28" t="s">
        <v>421</v>
      </c>
      <c r="C130" s="32" t="s">
        <v>66</v>
      </c>
      <c r="E130" s="27" t="s">
        <v>68</v>
      </c>
      <c r="F130" s="27" t="str">
        <f t="shared" ref="F130:F135" si="8">CONCATENATE(A130,B130,C130,D130,E130)</f>
        <v>BefestigungAnschraubenVIONARO H249Silver grey</v>
      </c>
      <c r="G130" s="30" t="s">
        <v>376</v>
      </c>
      <c r="H130" s="28" t="str">
        <f t="shared" si="6"/>
        <v>F136100310</v>
      </c>
      <c r="I130" s="28" t="s">
        <v>377</v>
      </c>
      <c r="J130" s="28" t="s">
        <v>378</v>
      </c>
      <c r="K130" s="28" t="s">
        <v>360</v>
      </c>
    </row>
    <row r="131" spans="1:12" s="33" customFormat="1" x14ac:dyDescent="0.2">
      <c r="A131" s="28" t="s">
        <v>418</v>
      </c>
      <c r="B131" s="28" t="s">
        <v>423</v>
      </c>
      <c r="C131" s="32" t="s">
        <v>66</v>
      </c>
      <c r="E131" s="27" t="s">
        <v>68</v>
      </c>
      <c r="F131" s="27" t="str">
        <f t="shared" si="8"/>
        <v>BefestigungSpreizdübel Ø 8 mmVIONARO H249Silver grey</v>
      </c>
      <c r="G131" s="30" t="s">
        <v>379</v>
      </c>
      <c r="H131" s="28" t="str">
        <f t="shared" si="6"/>
        <v>F136100311</v>
      </c>
      <c r="I131" s="28" t="s">
        <v>380</v>
      </c>
      <c r="J131" s="28" t="s">
        <v>378</v>
      </c>
      <c r="K131" s="28" t="s">
        <v>363</v>
      </c>
    </row>
    <row r="132" spans="1:12" s="33" customFormat="1" x14ac:dyDescent="0.2">
      <c r="A132" s="28" t="s">
        <v>418</v>
      </c>
      <c r="B132" s="28" t="s">
        <v>421</v>
      </c>
      <c r="C132" s="32" t="s">
        <v>66</v>
      </c>
      <c r="E132" s="27" t="s">
        <v>69</v>
      </c>
      <c r="F132" s="27" t="str">
        <f t="shared" si="8"/>
        <v>BefestigungAnschraubenVIONARO H249Graphit</v>
      </c>
      <c r="G132" s="28" t="s">
        <v>381</v>
      </c>
      <c r="H132" s="28" t="str">
        <f t="shared" si="6"/>
        <v>F136100312</v>
      </c>
      <c r="I132" s="28" t="s">
        <v>382</v>
      </c>
      <c r="J132" s="28" t="s">
        <v>378</v>
      </c>
      <c r="K132" s="28" t="s">
        <v>366</v>
      </c>
    </row>
    <row r="133" spans="1:12" s="33" customFormat="1" x14ac:dyDescent="0.2">
      <c r="A133" s="28" t="s">
        <v>418</v>
      </c>
      <c r="B133" s="28" t="s">
        <v>423</v>
      </c>
      <c r="C133" s="32" t="s">
        <v>66</v>
      </c>
      <c r="E133" s="27" t="s">
        <v>69</v>
      </c>
      <c r="F133" s="27" t="str">
        <f t="shared" si="8"/>
        <v>BefestigungSpreizdübel Ø 8 mmVIONARO H249Graphit</v>
      </c>
      <c r="G133" s="28" t="s">
        <v>383</v>
      </c>
      <c r="H133" s="28" t="str">
        <f t="shared" si="6"/>
        <v>F136100313</v>
      </c>
      <c r="I133" s="28" t="s">
        <v>384</v>
      </c>
      <c r="J133" s="28" t="s">
        <v>378</v>
      </c>
      <c r="K133" s="28" t="s">
        <v>369</v>
      </c>
    </row>
    <row r="134" spans="1:12" s="33" customFormat="1" x14ac:dyDescent="0.2">
      <c r="A134" s="28" t="s">
        <v>418</v>
      </c>
      <c r="B134" s="28" t="s">
        <v>421</v>
      </c>
      <c r="C134" s="32" t="s">
        <v>66</v>
      </c>
      <c r="E134" s="27" t="s">
        <v>70</v>
      </c>
      <c r="F134" s="27" t="str">
        <f t="shared" si="8"/>
        <v>BefestigungAnschraubenVIONARO H249Snow white</v>
      </c>
      <c r="G134" s="28" t="s">
        <v>385</v>
      </c>
      <c r="H134" s="28" t="str">
        <f t="shared" si="6"/>
        <v>F136100314</v>
      </c>
      <c r="I134" s="28" t="s">
        <v>386</v>
      </c>
      <c r="J134" s="28" t="s">
        <v>378</v>
      </c>
      <c r="K134" s="28" t="s">
        <v>372</v>
      </c>
    </row>
    <row r="135" spans="1:12" s="33" customFormat="1" x14ac:dyDescent="0.2">
      <c r="A135" s="28" t="s">
        <v>418</v>
      </c>
      <c r="B135" s="28" t="s">
        <v>423</v>
      </c>
      <c r="C135" s="32" t="s">
        <v>66</v>
      </c>
      <c r="E135" s="27" t="s">
        <v>70</v>
      </c>
      <c r="F135" s="27" t="str">
        <f t="shared" si="8"/>
        <v>BefestigungSpreizdübel Ø 8 mmVIONARO H249Snow white</v>
      </c>
      <c r="G135" s="28" t="s">
        <v>387</v>
      </c>
      <c r="H135" s="28" t="str">
        <f t="shared" si="6"/>
        <v>F136100315</v>
      </c>
      <c r="I135" s="28" t="s">
        <v>388</v>
      </c>
      <c r="J135" s="28" t="s">
        <v>378</v>
      </c>
      <c r="K135" s="28" t="s">
        <v>375</v>
      </c>
    </row>
    <row r="136" spans="1:12" s="33" customFormat="1" x14ac:dyDescent="0.2">
      <c r="A136" s="28" t="s">
        <v>418</v>
      </c>
      <c r="B136" s="28" t="s">
        <v>417</v>
      </c>
      <c r="C136" s="32" t="s">
        <v>1</v>
      </c>
      <c r="E136" s="27" t="s">
        <v>68</v>
      </c>
      <c r="F136" s="27" t="str">
        <f t="shared" si="5"/>
        <v>BefestigungInnenblendeVIONARO H89Silver grey</v>
      </c>
      <c r="G136" s="26" t="s">
        <v>389</v>
      </c>
      <c r="H136" s="28" t="str">
        <f t="shared" ref="H136:H166" si="9">LEFT(G136,10)</f>
        <v>F136100277</v>
      </c>
      <c r="I136" s="28" t="s">
        <v>390</v>
      </c>
      <c r="J136" s="28" t="s">
        <v>391</v>
      </c>
      <c r="K136" s="28" t="s">
        <v>392</v>
      </c>
    </row>
    <row r="137" spans="1:12" s="33" customFormat="1" x14ac:dyDescent="0.2">
      <c r="A137" s="28" t="s">
        <v>418</v>
      </c>
      <c r="B137" s="28" t="s">
        <v>417</v>
      </c>
      <c r="C137" s="32" t="s">
        <v>1</v>
      </c>
      <c r="E137" s="27" t="s">
        <v>69</v>
      </c>
      <c r="F137" s="27" t="str">
        <f t="shared" si="5"/>
        <v>BefestigungInnenblendeVIONARO H89Graphit</v>
      </c>
      <c r="G137" s="28" t="s">
        <v>393</v>
      </c>
      <c r="H137" s="28" t="str">
        <f t="shared" si="9"/>
        <v>F136100278</v>
      </c>
      <c r="I137" s="28" t="s">
        <v>394</v>
      </c>
      <c r="J137" s="28" t="s">
        <v>391</v>
      </c>
      <c r="K137" s="28" t="s">
        <v>395</v>
      </c>
    </row>
    <row r="138" spans="1:12" s="33" customFormat="1" x14ac:dyDescent="0.2">
      <c r="A138" s="28" t="s">
        <v>418</v>
      </c>
      <c r="B138" s="28" t="s">
        <v>417</v>
      </c>
      <c r="C138" s="32" t="s">
        <v>1</v>
      </c>
      <c r="E138" s="27" t="s">
        <v>70</v>
      </c>
      <c r="F138" s="27" t="str">
        <f t="shared" si="5"/>
        <v>BefestigungInnenblendeVIONARO H89Snow white</v>
      </c>
      <c r="G138" s="28" t="s">
        <v>396</v>
      </c>
      <c r="H138" s="28" t="str">
        <f t="shared" si="9"/>
        <v>F136100279</v>
      </c>
      <c r="I138" s="28" t="s">
        <v>397</v>
      </c>
      <c r="J138" s="28" t="s">
        <v>391</v>
      </c>
      <c r="K138" s="28" t="s">
        <v>398</v>
      </c>
    </row>
    <row r="139" spans="1:12" s="33" customFormat="1" x14ac:dyDescent="0.2">
      <c r="A139" s="28" t="s">
        <v>418</v>
      </c>
      <c r="B139" s="28" t="s">
        <v>417</v>
      </c>
      <c r="C139" s="32" t="s">
        <v>3</v>
      </c>
      <c r="E139" s="27" t="s">
        <v>68</v>
      </c>
      <c r="F139" s="27" t="str">
        <f t="shared" si="5"/>
        <v>BefestigungInnenblendeVIONARO H185Silver grey</v>
      </c>
      <c r="G139" s="26" t="s">
        <v>399</v>
      </c>
      <c r="H139" s="28" t="str">
        <f t="shared" si="9"/>
        <v>F136100318</v>
      </c>
      <c r="I139" s="28" t="s">
        <v>400</v>
      </c>
      <c r="J139" s="28" t="s">
        <v>391</v>
      </c>
      <c r="K139" s="28" t="s">
        <v>401</v>
      </c>
    </row>
    <row r="140" spans="1:12" s="33" customFormat="1" x14ac:dyDescent="0.2">
      <c r="A140" s="28" t="s">
        <v>418</v>
      </c>
      <c r="B140" s="28" t="s">
        <v>417</v>
      </c>
      <c r="C140" s="32" t="s">
        <v>3</v>
      </c>
      <c r="E140" s="27" t="s">
        <v>69</v>
      </c>
      <c r="F140" s="27" t="str">
        <f t="shared" si="5"/>
        <v>BefestigungInnenblendeVIONARO H185Graphit</v>
      </c>
      <c r="G140" s="28" t="s">
        <v>402</v>
      </c>
      <c r="H140" s="28" t="str">
        <f t="shared" si="9"/>
        <v>F136100319</v>
      </c>
      <c r="I140" s="28" t="s">
        <v>403</v>
      </c>
      <c r="J140" s="28" t="s">
        <v>391</v>
      </c>
      <c r="K140" s="28" t="s">
        <v>404</v>
      </c>
    </row>
    <row r="141" spans="1:12" s="33" customFormat="1" x14ac:dyDescent="0.2">
      <c r="A141" s="28" t="s">
        <v>418</v>
      </c>
      <c r="B141" s="28" t="s">
        <v>417</v>
      </c>
      <c r="C141" s="32" t="s">
        <v>3</v>
      </c>
      <c r="E141" s="27" t="s">
        <v>70</v>
      </c>
      <c r="F141" s="27" t="str">
        <f t="shared" si="5"/>
        <v>BefestigungInnenblendeVIONARO H185Snow white</v>
      </c>
      <c r="G141" s="28" t="s">
        <v>405</v>
      </c>
      <c r="H141" s="28" t="str">
        <f t="shared" si="9"/>
        <v>F136100320</v>
      </c>
      <c r="I141" s="28" t="s">
        <v>406</v>
      </c>
      <c r="J141" s="28" t="s">
        <v>391</v>
      </c>
      <c r="K141" s="28" t="s">
        <v>407</v>
      </c>
    </row>
    <row r="142" spans="1:12" x14ac:dyDescent="0.2">
      <c r="A142" s="28" t="s">
        <v>426</v>
      </c>
      <c r="B142" s="28" t="s">
        <v>503</v>
      </c>
      <c r="D142" s="28">
        <v>270</v>
      </c>
      <c r="F142" s="27" t="str">
        <f t="shared" si="5"/>
        <v>FührungSOFT-CLOSE 40KG270</v>
      </c>
      <c r="G142" s="28" t="s">
        <v>427</v>
      </c>
      <c r="H142" s="28" t="str">
        <f t="shared" si="9"/>
        <v>F130116015</v>
      </c>
      <c r="I142" s="28" t="s">
        <v>498</v>
      </c>
      <c r="J142" s="28" t="s">
        <v>464</v>
      </c>
      <c r="K142" s="28" t="s">
        <v>509</v>
      </c>
    </row>
    <row r="143" spans="1:12" x14ac:dyDescent="0.2">
      <c r="A143" s="28" t="s">
        <v>426</v>
      </c>
      <c r="B143" s="28" t="s">
        <v>503</v>
      </c>
      <c r="D143" s="28">
        <v>300</v>
      </c>
      <c r="F143" s="27" t="str">
        <f t="shared" ref="F143:F187" si="10">CONCATENATE(A143,B143,C143,D143,E143)</f>
        <v>FührungSOFT-CLOSE 40KG300</v>
      </c>
      <c r="G143" s="28" t="s">
        <v>428</v>
      </c>
      <c r="H143" s="28" t="str">
        <f t="shared" si="9"/>
        <v>F130116016</v>
      </c>
      <c r="I143" s="28" t="s">
        <v>499</v>
      </c>
      <c r="J143" s="28" t="s">
        <v>465</v>
      </c>
      <c r="K143" s="28" t="s">
        <v>509</v>
      </c>
      <c r="L143" s="33"/>
    </row>
    <row r="144" spans="1:12" x14ac:dyDescent="0.2">
      <c r="A144" s="28" t="s">
        <v>426</v>
      </c>
      <c r="B144" s="28" t="s">
        <v>503</v>
      </c>
      <c r="D144" s="28">
        <v>350</v>
      </c>
      <c r="F144" s="27" t="str">
        <f t="shared" si="10"/>
        <v>FührungSOFT-CLOSE 40KG350</v>
      </c>
      <c r="G144" s="28" t="s">
        <v>429</v>
      </c>
      <c r="H144" s="28" t="str">
        <f t="shared" si="9"/>
        <v>F130116018</v>
      </c>
      <c r="I144" s="28" t="s">
        <v>500</v>
      </c>
      <c r="J144" s="28" t="s">
        <v>466</v>
      </c>
      <c r="K144" s="28" t="s">
        <v>509</v>
      </c>
    </row>
    <row r="145" spans="1:13" x14ac:dyDescent="0.2">
      <c r="A145" s="28" t="s">
        <v>426</v>
      </c>
      <c r="B145" s="28" t="s">
        <v>503</v>
      </c>
      <c r="D145" s="28">
        <v>400</v>
      </c>
      <c r="F145" s="27" t="str">
        <f t="shared" si="10"/>
        <v>FührungSOFT-CLOSE 40KG400</v>
      </c>
      <c r="G145" s="28" t="s">
        <v>430</v>
      </c>
      <c r="H145" s="28" t="str">
        <f t="shared" si="9"/>
        <v>F130116020</v>
      </c>
      <c r="I145" s="28" t="s">
        <v>477</v>
      </c>
      <c r="J145" s="28" t="s">
        <v>467</v>
      </c>
      <c r="K145" s="28" t="s">
        <v>509</v>
      </c>
    </row>
    <row r="146" spans="1:13" x14ac:dyDescent="0.2">
      <c r="A146" s="28" t="s">
        <v>426</v>
      </c>
      <c r="B146" s="28" t="s">
        <v>503</v>
      </c>
      <c r="D146" s="28">
        <v>450</v>
      </c>
      <c r="F146" s="27" t="str">
        <f t="shared" si="10"/>
        <v>FührungSOFT-CLOSE 40KG450</v>
      </c>
      <c r="G146" s="28" t="s">
        <v>431</v>
      </c>
      <c r="H146" s="28" t="str">
        <f t="shared" si="9"/>
        <v>F130116022</v>
      </c>
      <c r="I146" s="28" t="s">
        <v>478</v>
      </c>
      <c r="J146" s="28" t="s">
        <v>468</v>
      </c>
      <c r="K146" s="28" t="s">
        <v>509</v>
      </c>
    </row>
    <row r="147" spans="1:13" x14ac:dyDescent="0.2">
      <c r="A147" s="28" t="s">
        <v>426</v>
      </c>
      <c r="B147" s="28" t="s">
        <v>503</v>
      </c>
      <c r="D147" s="28">
        <v>500</v>
      </c>
      <c r="F147" s="27" t="str">
        <f t="shared" si="10"/>
        <v>FührungSOFT-CLOSE 40KG500</v>
      </c>
      <c r="G147" s="28" t="s">
        <v>432</v>
      </c>
      <c r="H147" s="28" t="str">
        <f t="shared" si="9"/>
        <v>F130116024</v>
      </c>
      <c r="I147" s="28" t="s">
        <v>479</v>
      </c>
      <c r="J147" s="28" t="s">
        <v>469</v>
      </c>
      <c r="K147" s="28" t="s">
        <v>509</v>
      </c>
    </row>
    <row r="148" spans="1:13" x14ac:dyDescent="0.2">
      <c r="A148" s="28" t="s">
        <v>426</v>
      </c>
      <c r="B148" s="28" t="s">
        <v>503</v>
      </c>
      <c r="D148" s="28">
        <v>550</v>
      </c>
      <c r="F148" s="27" t="str">
        <f t="shared" si="10"/>
        <v>FührungSOFT-CLOSE 40KG550</v>
      </c>
      <c r="G148" s="28" t="s">
        <v>433</v>
      </c>
      <c r="H148" s="28" t="str">
        <f t="shared" si="9"/>
        <v>F130116026</v>
      </c>
      <c r="I148" s="28" t="s">
        <v>480</v>
      </c>
      <c r="J148" s="28" t="s">
        <v>470</v>
      </c>
      <c r="K148" s="28" t="s">
        <v>509</v>
      </c>
    </row>
    <row r="149" spans="1:13" x14ac:dyDescent="0.2">
      <c r="A149" s="28" t="s">
        <v>426</v>
      </c>
      <c r="B149" s="28" t="s">
        <v>503</v>
      </c>
      <c r="D149" s="28">
        <v>600</v>
      </c>
      <c r="F149" s="27" t="str">
        <f t="shared" si="10"/>
        <v>FührungSOFT-CLOSE 40KG600</v>
      </c>
      <c r="G149" s="28" t="s">
        <v>434</v>
      </c>
      <c r="H149" s="28" t="str">
        <f t="shared" si="9"/>
        <v>F130117116</v>
      </c>
      <c r="I149" s="28" t="s">
        <v>486</v>
      </c>
      <c r="J149" s="28" t="s">
        <v>476</v>
      </c>
      <c r="K149" s="28" t="s">
        <v>509</v>
      </c>
    </row>
    <row r="150" spans="1:13" x14ac:dyDescent="0.2">
      <c r="A150" s="28" t="s">
        <v>426</v>
      </c>
      <c r="B150" s="28" t="s">
        <v>504</v>
      </c>
      <c r="D150" s="28">
        <v>450</v>
      </c>
      <c r="F150" s="27" t="str">
        <f t="shared" si="10"/>
        <v>FührungSOFT-CLOSE 70KG450</v>
      </c>
      <c r="G150" s="28" t="s">
        <v>435</v>
      </c>
      <c r="H150" s="28" t="str">
        <f t="shared" si="9"/>
        <v>F130116927</v>
      </c>
      <c r="I150" s="28" t="s">
        <v>478</v>
      </c>
      <c r="J150" s="28" t="s">
        <v>468</v>
      </c>
      <c r="K150" s="28" t="s">
        <v>509</v>
      </c>
    </row>
    <row r="151" spans="1:13" x14ac:dyDescent="0.2">
      <c r="A151" s="28" t="s">
        <v>426</v>
      </c>
      <c r="B151" s="28" t="s">
        <v>504</v>
      </c>
      <c r="D151" s="28">
        <v>500</v>
      </c>
      <c r="F151" s="27" t="str">
        <f t="shared" si="10"/>
        <v>FührungSOFT-CLOSE 70KG500</v>
      </c>
      <c r="G151" s="28" t="s">
        <v>436</v>
      </c>
      <c r="H151" s="28" t="str">
        <f t="shared" si="9"/>
        <v>F130116930</v>
      </c>
      <c r="I151" s="28" t="s">
        <v>481</v>
      </c>
      <c r="J151" s="28" t="s">
        <v>472</v>
      </c>
      <c r="K151" s="28" t="s">
        <v>509</v>
      </c>
    </row>
    <row r="152" spans="1:13" x14ac:dyDescent="0.2">
      <c r="A152" s="28" t="s">
        <v>426</v>
      </c>
      <c r="B152" s="28" t="s">
        <v>504</v>
      </c>
      <c r="D152" s="28">
        <v>550</v>
      </c>
      <c r="F152" s="27" t="str">
        <f t="shared" si="10"/>
        <v>FührungSOFT-CLOSE 70KG550</v>
      </c>
      <c r="G152" s="28" t="s">
        <v>437</v>
      </c>
      <c r="H152" s="28" t="str">
        <f t="shared" si="9"/>
        <v>F130116936</v>
      </c>
      <c r="I152" s="28" t="s">
        <v>482</v>
      </c>
      <c r="J152" s="28" t="s">
        <v>473</v>
      </c>
      <c r="K152" s="28" t="s">
        <v>509</v>
      </c>
      <c r="M152" s="33"/>
    </row>
    <row r="153" spans="1:13" x14ac:dyDescent="0.2">
      <c r="A153" s="28" t="s">
        <v>426</v>
      </c>
      <c r="B153" s="28" t="s">
        <v>504</v>
      </c>
      <c r="D153" s="28">
        <v>600</v>
      </c>
      <c r="F153" s="27" t="str">
        <f t="shared" si="10"/>
        <v>FührungSOFT-CLOSE 70KG600</v>
      </c>
      <c r="G153" s="28" t="s">
        <v>438</v>
      </c>
      <c r="H153" s="28" t="str">
        <f t="shared" si="9"/>
        <v>F130116942</v>
      </c>
      <c r="I153" s="28" t="s">
        <v>483</v>
      </c>
      <c r="J153" s="28" t="s">
        <v>474</v>
      </c>
      <c r="K153" s="28" t="s">
        <v>509</v>
      </c>
      <c r="M153" s="33"/>
    </row>
    <row r="154" spans="1:13" x14ac:dyDescent="0.2">
      <c r="A154" s="28" t="s">
        <v>426</v>
      </c>
      <c r="B154" s="28" t="s">
        <v>504</v>
      </c>
      <c r="D154" s="28">
        <v>650</v>
      </c>
      <c r="F154" s="27" t="str">
        <f t="shared" si="10"/>
        <v>FührungSOFT-CLOSE 70KG650</v>
      </c>
      <c r="G154" s="28" t="s">
        <v>439</v>
      </c>
      <c r="H154" s="28" t="str">
        <f t="shared" si="9"/>
        <v>F130116945</v>
      </c>
      <c r="I154" s="28" t="s">
        <v>484</v>
      </c>
      <c r="J154" s="28" t="s">
        <v>475</v>
      </c>
      <c r="K154" s="28" t="s">
        <v>509</v>
      </c>
      <c r="M154" s="33"/>
    </row>
    <row r="155" spans="1:13" x14ac:dyDescent="0.2">
      <c r="A155" s="28" t="s">
        <v>426</v>
      </c>
      <c r="B155" s="27" t="s">
        <v>505</v>
      </c>
      <c r="D155" s="28">
        <v>270</v>
      </c>
      <c r="F155" s="27" t="str">
        <f t="shared" si="10"/>
        <v>FührungTIPMATIC 40KG270</v>
      </c>
      <c r="G155" s="28" t="s">
        <v>440</v>
      </c>
      <c r="H155" s="28" t="str">
        <f t="shared" si="9"/>
        <v>F130117459</v>
      </c>
      <c r="I155" s="28" t="s">
        <v>487</v>
      </c>
      <c r="J155" s="28" t="s">
        <v>464</v>
      </c>
      <c r="K155" s="28" t="s">
        <v>510</v>
      </c>
      <c r="M155" s="33"/>
    </row>
    <row r="156" spans="1:13" x14ac:dyDescent="0.2">
      <c r="A156" s="28" t="s">
        <v>426</v>
      </c>
      <c r="B156" s="27" t="s">
        <v>505</v>
      </c>
      <c r="D156" s="28">
        <v>300</v>
      </c>
      <c r="F156" s="27" t="str">
        <f t="shared" si="10"/>
        <v>FührungTIPMATIC 40KG300</v>
      </c>
      <c r="G156" s="28" t="s">
        <v>441</v>
      </c>
      <c r="H156" s="28" t="str">
        <f t="shared" si="9"/>
        <v>F130117460</v>
      </c>
      <c r="I156" s="28" t="s">
        <v>488</v>
      </c>
      <c r="J156" s="28" t="s">
        <v>465</v>
      </c>
      <c r="K156" s="28" t="s">
        <v>510</v>
      </c>
      <c r="M156" s="33"/>
    </row>
    <row r="157" spans="1:13" x14ac:dyDescent="0.2">
      <c r="A157" s="28" t="s">
        <v>426</v>
      </c>
      <c r="B157" s="27" t="s">
        <v>505</v>
      </c>
      <c r="D157" s="28">
        <v>350</v>
      </c>
      <c r="F157" s="27" t="str">
        <f t="shared" si="10"/>
        <v>FührungTIPMATIC 40KG350</v>
      </c>
      <c r="G157" s="28" t="s">
        <v>442</v>
      </c>
      <c r="H157" s="28" t="str">
        <f t="shared" si="9"/>
        <v>F130117462</v>
      </c>
      <c r="I157" s="28" t="s">
        <v>489</v>
      </c>
      <c r="J157" s="28" t="s">
        <v>466</v>
      </c>
      <c r="K157" s="28" t="s">
        <v>510</v>
      </c>
      <c r="M157" s="33"/>
    </row>
    <row r="158" spans="1:13" x14ac:dyDescent="0.2">
      <c r="A158" s="28" t="s">
        <v>426</v>
      </c>
      <c r="B158" s="27" t="s">
        <v>505</v>
      </c>
      <c r="D158" s="28">
        <v>400</v>
      </c>
      <c r="F158" s="27" t="str">
        <f t="shared" si="10"/>
        <v>FührungTIPMATIC 40KG400</v>
      </c>
      <c r="G158" s="28" t="s">
        <v>443</v>
      </c>
      <c r="H158" s="28" t="str">
        <f t="shared" si="9"/>
        <v>F130117463</v>
      </c>
      <c r="I158" s="28" t="s">
        <v>490</v>
      </c>
      <c r="J158" s="28" t="s">
        <v>467</v>
      </c>
      <c r="K158" s="28" t="s">
        <v>510</v>
      </c>
      <c r="M158" s="33"/>
    </row>
    <row r="159" spans="1:13" x14ac:dyDescent="0.2">
      <c r="A159" s="28" t="s">
        <v>426</v>
      </c>
      <c r="B159" s="27" t="s">
        <v>505</v>
      </c>
      <c r="D159" s="28">
        <v>450</v>
      </c>
      <c r="F159" s="27" t="str">
        <f t="shared" si="10"/>
        <v>FührungTIPMATIC 40KG450</v>
      </c>
      <c r="G159" s="28" t="s">
        <v>444</v>
      </c>
      <c r="H159" s="28" t="str">
        <f t="shared" si="9"/>
        <v>F130117465</v>
      </c>
      <c r="I159" s="28" t="s">
        <v>491</v>
      </c>
      <c r="J159" s="28" t="s">
        <v>468</v>
      </c>
      <c r="K159" s="28" t="s">
        <v>510</v>
      </c>
      <c r="M159" s="33"/>
    </row>
    <row r="160" spans="1:13" x14ac:dyDescent="0.2">
      <c r="A160" s="28" t="s">
        <v>426</v>
      </c>
      <c r="B160" s="27" t="s">
        <v>505</v>
      </c>
      <c r="D160" s="28">
        <v>500</v>
      </c>
      <c r="F160" s="27" t="str">
        <f t="shared" si="10"/>
        <v>FührungTIPMATIC 40KG500</v>
      </c>
      <c r="G160" s="28" t="s">
        <v>445</v>
      </c>
      <c r="H160" s="28" t="str">
        <f t="shared" si="9"/>
        <v>F130117467</v>
      </c>
      <c r="I160" s="28" t="s">
        <v>492</v>
      </c>
      <c r="J160" s="28" t="s">
        <v>469</v>
      </c>
      <c r="K160" s="28" t="s">
        <v>510</v>
      </c>
      <c r="M160" s="33"/>
    </row>
    <row r="161" spans="1:11" x14ac:dyDescent="0.2">
      <c r="A161" s="28" t="s">
        <v>426</v>
      </c>
      <c r="B161" s="27" t="s">
        <v>505</v>
      </c>
      <c r="D161" s="28">
        <v>550</v>
      </c>
      <c r="F161" s="27" t="str">
        <f t="shared" si="10"/>
        <v>FührungTIPMATIC 40KG550</v>
      </c>
      <c r="G161" s="28" t="s">
        <v>446</v>
      </c>
      <c r="H161" s="28" t="str">
        <f t="shared" si="9"/>
        <v>F130117468</v>
      </c>
      <c r="I161" s="28" t="s">
        <v>493</v>
      </c>
      <c r="J161" s="28" t="s">
        <v>470</v>
      </c>
      <c r="K161" s="28" t="s">
        <v>510</v>
      </c>
    </row>
    <row r="162" spans="1:11" x14ac:dyDescent="0.2">
      <c r="A162" s="28" t="s">
        <v>426</v>
      </c>
      <c r="B162" s="27" t="s">
        <v>506</v>
      </c>
      <c r="D162" s="28">
        <v>450</v>
      </c>
      <c r="F162" s="27" t="str">
        <f t="shared" si="10"/>
        <v>FührungTIPMATIC 60KG450</v>
      </c>
      <c r="G162" s="28" t="s">
        <v>447</v>
      </c>
      <c r="H162" s="28" t="str">
        <f t="shared" si="9"/>
        <v>F130117470</v>
      </c>
      <c r="I162" s="28" t="s">
        <v>494</v>
      </c>
      <c r="J162" s="28" t="s">
        <v>471</v>
      </c>
      <c r="K162" s="28" t="s">
        <v>510</v>
      </c>
    </row>
    <row r="163" spans="1:11" x14ac:dyDescent="0.2">
      <c r="A163" s="28" t="s">
        <v>426</v>
      </c>
      <c r="B163" s="27" t="s">
        <v>506</v>
      </c>
      <c r="D163" s="28">
        <v>500</v>
      </c>
      <c r="F163" s="27" t="str">
        <f t="shared" si="10"/>
        <v>FührungTIPMATIC 60KG500</v>
      </c>
      <c r="G163" s="28" t="s">
        <v>448</v>
      </c>
      <c r="H163" s="28" t="str">
        <f t="shared" si="9"/>
        <v>F130117471</v>
      </c>
      <c r="I163" s="28" t="s">
        <v>495</v>
      </c>
      <c r="J163" s="28" t="s">
        <v>472</v>
      </c>
      <c r="K163" s="28" t="s">
        <v>510</v>
      </c>
    </row>
    <row r="164" spans="1:11" x14ac:dyDescent="0.2">
      <c r="A164" s="28" t="s">
        <v>426</v>
      </c>
      <c r="B164" s="27" t="s">
        <v>506</v>
      </c>
      <c r="D164" s="28">
        <v>550</v>
      </c>
      <c r="F164" s="27" t="str">
        <f t="shared" si="10"/>
        <v>FührungTIPMATIC 60KG550</v>
      </c>
      <c r="G164" s="28" t="s">
        <v>449</v>
      </c>
      <c r="H164" s="28" t="str">
        <f t="shared" si="9"/>
        <v>F130117472</v>
      </c>
      <c r="I164" s="28" t="s">
        <v>496</v>
      </c>
      <c r="J164" s="28" t="s">
        <v>473</v>
      </c>
      <c r="K164" s="28" t="s">
        <v>510</v>
      </c>
    </row>
    <row r="165" spans="1:11" x14ac:dyDescent="0.2">
      <c r="A165" s="28" t="s">
        <v>426</v>
      </c>
      <c r="B165" s="27" t="s">
        <v>506</v>
      </c>
      <c r="D165" s="28">
        <v>600</v>
      </c>
      <c r="F165" s="27" t="str">
        <f t="shared" si="10"/>
        <v>FührungTIPMATIC 60KG600</v>
      </c>
      <c r="G165" s="28" t="s">
        <v>450</v>
      </c>
      <c r="H165" s="28" t="str">
        <f t="shared" si="9"/>
        <v>F130116941</v>
      </c>
      <c r="I165" s="28" t="s">
        <v>485</v>
      </c>
      <c r="J165" s="28" t="s">
        <v>474</v>
      </c>
      <c r="K165" s="28" t="s">
        <v>510</v>
      </c>
    </row>
    <row r="166" spans="1:11" x14ac:dyDescent="0.2">
      <c r="A166" s="28" t="s">
        <v>426</v>
      </c>
      <c r="B166" s="27" t="s">
        <v>506</v>
      </c>
      <c r="D166" s="28">
        <v>650</v>
      </c>
      <c r="F166" s="27" t="str">
        <f t="shared" si="10"/>
        <v>FührungTIPMATIC 60KG650</v>
      </c>
      <c r="G166" s="28" t="s">
        <v>451</v>
      </c>
      <c r="H166" s="28" t="str">
        <f t="shared" si="9"/>
        <v>F130117474</v>
      </c>
      <c r="I166" s="28" t="s">
        <v>497</v>
      </c>
      <c r="J166" s="28" t="s">
        <v>475</v>
      </c>
      <c r="K166" s="28" t="s">
        <v>510</v>
      </c>
    </row>
    <row r="167" spans="1:11" s="33" customFormat="1" x14ac:dyDescent="0.2">
      <c r="A167" s="28" t="s">
        <v>418</v>
      </c>
      <c r="B167" s="28" t="s">
        <v>421</v>
      </c>
      <c r="C167" s="32" t="s">
        <v>0</v>
      </c>
      <c r="E167" s="27" t="s">
        <v>67</v>
      </c>
      <c r="F167" s="27" t="str">
        <f t="shared" si="10"/>
        <v>BefestigungAnschraubenVIONARO H63Aluminium Natur</v>
      </c>
      <c r="G167" s="31" t="s">
        <v>347</v>
      </c>
      <c r="H167" s="28" t="s">
        <v>459</v>
      </c>
      <c r="I167" s="28" t="s">
        <v>348</v>
      </c>
      <c r="J167" s="28" t="s">
        <v>349</v>
      </c>
      <c r="K167" s="28" t="s">
        <v>350</v>
      </c>
    </row>
    <row r="168" spans="1:11" s="33" customFormat="1" x14ac:dyDescent="0.2">
      <c r="A168" s="28" t="s">
        <v>418</v>
      </c>
      <c r="B168" s="28" t="s">
        <v>421</v>
      </c>
      <c r="C168" s="32" t="s">
        <v>1</v>
      </c>
      <c r="E168" s="27" t="s">
        <v>67</v>
      </c>
      <c r="F168" s="27" t="str">
        <f t="shared" si="10"/>
        <v>BefestigungAnschraubenVIONARO H89Aluminium Natur</v>
      </c>
      <c r="G168" s="30" t="s">
        <v>357</v>
      </c>
      <c r="H168" s="28" t="s">
        <v>460</v>
      </c>
      <c r="I168" s="28" t="s">
        <v>358</v>
      </c>
      <c r="J168" s="28" t="s">
        <v>359</v>
      </c>
      <c r="K168" s="28" t="s">
        <v>360</v>
      </c>
    </row>
    <row r="169" spans="1:11" s="33" customFormat="1" x14ac:dyDescent="0.2">
      <c r="A169" s="28" t="s">
        <v>418</v>
      </c>
      <c r="B169" s="28" t="s">
        <v>423</v>
      </c>
      <c r="C169" s="32" t="s">
        <v>1</v>
      </c>
      <c r="E169" s="27" t="s">
        <v>67</v>
      </c>
      <c r="F169" s="27" t="str">
        <f t="shared" si="10"/>
        <v>BefestigungSpreizdübel Ø 8 mmVIONARO H89Aluminium Natur</v>
      </c>
      <c r="G169" s="30" t="s">
        <v>361</v>
      </c>
      <c r="H169" s="28" t="s">
        <v>461</v>
      </c>
      <c r="I169" s="28" t="s">
        <v>362</v>
      </c>
      <c r="J169" s="28" t="s">
        <v>359</v>
      </c>
      <c r="K169" s="28" t="s">
        <v>363</v>
      </c>
    </row>
    <row r="170" spans="1:11" s="33" customFormat="1" x14ac:dyDescent="0.2">
      <c r="A170" s="28" t="s">
        <v>418</v>
      </c>
      <c r="B170" s="28" t="s">
        <v>421</v>
      </c>
      <c r="C170" s="32" t="s">
        <v>2</v>
      </c>
      <c r="E170" s="27" t="s">
        <v>67</v>
      </c>
      <c r="F170" s="27" t="str">
        <f t="shared" si="10"/>
        <v>BefestigungAnschraubenVIONARO H121Aluminium Natur</v>
      </c>
      <c r="G170" s="30" t="s">
        <v>357</v>
      </c>
      <c r="H170" s="28" t="s">
        <v>460</v>
      </c>
      <c r="I170" s="28" t="s">
        <v>358</v>
      </c>
      <c r="J170" s="28" t="s">
        <v>359</v>
      </c>
      <c r="K170" s="28" t="s">
        <v>360</v>
      </c>
    </row>
    <row r="171" spans="1:11" s="33" customFormat="1" x14ac:dyDescent="0.2">
      <c r="A171" s="28" t="s">
        <v>418</v>
      </c>
      <c r="B171" s="28" t="s">
        <v>423</v>
      </c>
      <c r="C171" s="32" t="s">
        <v>2</v>
      </c>
      <c r="E171" s="27" t="s">
        <v>67</v>
      </c>
      <c r="F171" s="27" t="str">
        <f t="shared" si="10"/>
        <v>BefestigungSpreizdübel Ø 8 mmVIONARO H121Aluminium Natur</v>
      </c>
      <c r="G171" s="30" t="s">
        <v>361</v>
      </c>
      <c r="H171" s="28" t="s">
        <v>461</v>
      </c>
      <c r="I171" s="28" t="s">
        <v>362</v>
      </c>
      <c r="J171" s="28" t="s">
        <v>359</v>
      </c>
      <c r="K171" s="28" t="s">
        <v>363</v>
      </c>
    </row>
    <row r="172" spans="1:11" s="33" customFormat="1" x14ac:dyDescent="0.2">
      <c r="A172" s="28" t="s">
        <v>418</v>
      </c>
      <c r="B172" s="28" t="s">
        <v>421</v>
      </c>
      <c r="C172" s="32" t="s">
        <v>3</v>
      </c>
      <c r="E172" s="27" t="s">
        <v>67</v>
      </c>
      <c r="F172" s="27" t="str">
        <f t="shared" si="10"/>
        <v>BefestigungAnschraubenVIONARO H185Aluminium Natur</v>
      </c>
      <c r="G172" s="30" t="s">
        <v>376</v>
      </c>
      <c r="H172" s="28" t="s">
        <v>462</v>
      </c>
      <c r="I172" s="28" t="s">
        <v>377</v>
      </c>
      <c r="J172" s="28" t="s">
        <v>378</v>
      </c>
      <c r="K172" s="28" t="s">
        <v>360</v>
      </c>
    </row>
    <row r="173" spans="1:11" s="33" customFormat="1" x14ac:dyDescent="0.2">
      <c r="A173" s="28" t="s">
        <v>418</v>
      </c>
      <c r="B173" s="28" t="s">
        <v>423</v>
      </c>
      <c r="C173" s="32" t="s">
        <v>3</v>
      </c>
      <c r="E173" s="27" t="s">
        <v>67</v>
      </c>
      <c r="F173" s="27" t="str">
        <f t="shared" si="10"/>
        <v>BefestigungSpreizdübel Ø 8 mmVIONARO H185Aluminium Natur</v>
      </c>
      <c r="G173" s="30" t="s">
        <v>379</v>
      </c>
      <c r="H173" s="28" t="s">
        <v>463</v>
      </c>
      <c r="I173" s="28" t="s">
        <v>380</v>
      </c>
      <c r="J173" s="28" t="s">
        <v>378</v>
      </c>
      <c r="K173" s="28" t="s">
        <v>363</v>
      </c>
    </row>
    <row r="174" spans="1:11" s="33" customFormat="1" x14ac:dyDescent="0.2">
      <c r="A174" s="28" t="s">
        <v>418</v>
      </c>
      <c r="B174" s="28" t="s">
        <v>421</v>
      </c>
      <c r="C174" s="32" t="s">
        <v>66</v>
      </c>
      <c r="E174" s="27" t="s">
        <v>67</v>
      </c>
      <c r="F174" s="27" t="str">
        <f t="shared" si="10"/>
        <v>BefestigungAnschraubenVIONARO H249Aluminium Natur</v>
      </c>
      <c r="G174" s="30" t="s">
        <v>376</v>
      </c>
      <c r="H174" s="28" t="s">
        <v>462</v>
      </c>
      <c r="I174" s="28" t="s">
        <v>377</v>
      </c>
      <c r="J174" s="28" t="s">
        <v>378</v>
      </c>
      <c r="K174" s="28" t="s">
        <v>360</v>
      </c>
    </row>
    <row r="175" spans="1:11" s="33" customFormat="1" x14ac:dyDescent="0.2">
      <c r="A175" s="28" t="s">
        <v>418</v>
      </c>
      <c r="B175" s="28" t="s">
        <v>423</v>
      </c>
      <c r="C175" s="32" t="s">
        <v>66</v>
      </c>
      <c r="E175" s="27" t="s">
        <v>67</v>
      </c>
      <c r="F175" s="27" t="str">
        <f t="shared" si="10"/>
        <v>BefestigungSpreizdübel Ø 8 mmVIONARO H249Aluminium Natur</v>
      </c>
      <c r="G175" s="30" t="s">
        <v>379</v>
      </c>
      <c r="H175" s="28" t="s">
        <v>463</v>
      </c>
      <c r="I175" s="28" t="s">
        <v>380</v>
      </c>
      <c r="J175" s="28" t="s">
        <v>378</v>
      </c>
      <c r="K175" s="28" t="s">
        <v>363</v>
      </c>
    </row>
    <row r="176" spans="1:11" s="33" customFormat="1" x14ac:dyDescent="0.2">
      <c r="A176" s="28" t="s">
        <v>416</v>
      </c>
      <c r="B176" s="28"/>
      <c r="C176" s="32" t="s">
        <v>66</v>
      </c>
      <c r="D176" s="33">
        <v>450</v>
      </c>
      <c r="E176" s="27" t="s">
        <v>67</v>
      </c>
      <c r="F176" s="27" t="str">
        <f t="shared" si="10"/>
        <v>ZargenVIONARO H249450Aluminium Natur</v>
      </c>
      <c r="G176" s="28" t="s">
        <v>516</v>
      </c>
      <c r="H176" s="28" t="str">
        <f t="shared" ref="H176:H227" si="11">LEFT(G176,10)</f>
        <v>F135106674</v>
      </c>
      <c r="I176" s="28" t="s">
        <v>260</v>
      </c>
      <c r="J176" s="28" t="s">
        <v>250</v>
      </c>
      <c r="K176" s="28" t="s">
        <v>75</v>
      </c>
    </row>
    <row r="177" spans="1:11" s="33" customFormat="1" x14ac:dyDescent="0.2">
      <c r="A177" s="28" t="s">
        <v>416</v>
      </c>
      <c r="B177" s="28"/>
      <c r="C177" s="32" t="s">
        <v>66</v>
      </c>
      <c r="D177" s="33">
        <v>500</v>
      </c>
      <c r="E177" s="27" t="s">
        <v>67</v>
      </c>
      <c r="F177" s="27" t="str">
        <f t="shared" si="10"/>
        <v>ZargenVIONARO H249500Aluminium Natur</v>
      </c>
      <c r="G177" s="28" t="s">
        <v>517</v>
      </c>
      <c r="H177" s="28" t="str">
        <f t="shared" si="11"/>
        <v>F135106680</v>
      </c>
      <c r="I177" s="28" t="s">
        <v>262</v>
      </c>
      <c r="J177" s="28" t="s">
        <v>250</v>
      </c>
      <c r="K177" s="28" t="s">
        <v>78</v>
      </c>
    </row>
    <row r="178" spans="1:11" s="33" customFormat="1" x14ac:dyDescent="0.2">
      <c r="A178" s="28" t="s">
        <v>416</v>
      </c>
      <c r="B178" s="28"/>
      <c r="C178" s="32" t="s">
        <v>66</v>
      </c>
      <c r="D178" s="33">
        <v>550</v>
      </c>
      <c r="E178" s="27" t="s">
        <v>67</v>
      </c>
      <c r="F178" s="27" t="str">
        <f t="shared" si="10"/>
        <v>ZargenVIONARO H249550Aluminium Natur</v>
      </c>
      <c r="G178" s="28" t="s">
        <v>518</v>
      </c>
      <c r="H178" s="28" t="str">
        <f t="shared" si="11"/>
        <v>F135106686</v>
      </c>
      <c r="I178" s="28" t="s">
        <v>264</v>
      </c>
      <c r="J178" s="28" t="s">
        <v>250</v>
      </c>
      <c r="K178" s="28" t="s">
        <v>81</v>
      </c>
    </row>
    <row r="179" spans="1:11" s="33" customFormat="1" x14ac:dyDescent="0.2">
      <c r="A179" s="28" t="s">
        <v>416</v>
      </c>
      <c r="B179" s="28"/>
      <c r="C179" s="32" t="s">
        <v>66</v>
      </c>
      <c r="D179" s="33">
        <v>600</v>
      </c>
      <c r="E179" s="27" t="s">
        <v>67</v>
      </c>
      <c r="F179" s="27" t="str">
        <f t="shared" si="10"/>
        <v>ZargenVIONARO H249600Aluminium Natur</v>
      </c>
      <c r="G179" s="28" t="s">
        <v>519</v>
      </c>
      <c r="H179" s="28" t="str">
        <f t="shared" si="11"/>
        <v>F135106692</v>
      </c>
      <c r="I179" s="28" t="s">
        <v>266</v>
      </c>
      <c r="J179" s="28" t="s">
        <v>250</v>
      </c>
      <c r="K179" s="28" t="s">
        <v>129</v>
      </c>
    </row>
    <row r="180" spans="1:11" s="33" customFormat="1" x14ac:dyDescent="0.2">
      <c r="A180" s="28" t="s">
        <v>416</v>
      </c>
      <c r="B180" s="28"/>
      <c r="C180" s="32" t="s">
        <v>66</v>
      </c>
      <c r="D180" s="33">
        <v>450</v>
      </c>
      <c r="E180" s="27" t="s">
        <v>68</v>
      </c>
      <c r="F180" s="27" t="str">
        <f t="shared" si="10"/>
        <v>ZargenVIONARO H249450Silver grey</v>
      </c>
      <c r="G180" s="28" t="s">
        <v>520</v>
      </c>
      <c r="H180" s="28" t="str">
        <f t="shared" si="11"/>
        <v>F135106774</v>
      </c>
      <c r="I180" s="28" t="s">
        <v>279</v>
      </c>
      <c r="J180" s="28" t="s">
        <v>532</v>
      </c>
      <c r="K180" s="28" t="s">
        <v>148</v>
      </c>
    </row>
    <row r="181" spans="1:11" s="33" customFormat="1" x14ac:dyDescent="0.2">
      <c r="A181" s="28" t="s">
        <v>416</v>
      </c>
      <c r="B181" s="28"/>
      <c r="C181" s="32" t="s">
        <v>66</v>
      </c>
      <c r="D181" s="33">
        <v>500</v>
      </c>
      <c r="E181" s="27" t="s">
        <v>68</v>
      </c>
      <c r="F181" s="27" t="str">
        <f t="shared" si="10"/>
        <v>ZargenVIONARO H249500Silver grey</v>
      </c>
      <c r="G181" s="28" t="s">
        <v>521</v>
      </c>
      <c r="H181" s="28" t="str">
        <f t="shared" si="11"/>
        <v>F135106780</v>
      </c>
      <c r="I181" s="28" t="s">
        <v>281</v>
      </c>
      <c r="J181" s="28" t="s">
        <v>532</v>
      </c>
      <c r="K181" s="28" t="s">
        <v>151</v>
      </c>
    </row>
    <row r="182" spans="1:11" s="33" customFormat="1" x14ac:dyDescent="0.2">
      <c r="A182" s="28" t="s">
        <v>416</v>
      </c>
      <c r="B182" s="28"/>
      <c r="C182" s="32" t="s">
        <v>66</v>
      </c>
      <c r="D182" s="33">
        <v>550</v>
      </c>
      <c r="E182" s="27" t="s">
        <v>68</v>
      </c>
      <c r="F182" s="27" t="str">
        <f t="shared" si="10"/>
        <v>ZargenVIONARO H249550Silver grey</v>
      </c>
      <c r="G182" s="28" t="s">
        <v>522</v>
      </c>
      <c r="H182" s="28" t="str">
        <f t="shared" si="11"/>
        <v>F135106786</v>
      </c>
      <c r="I182" s="28" t="s">
        <v>283</v>
      </c>
      <c r="J182" s="28" t="s">
        <v>532</v>
      </c>
      <c r="K182" s="28" t="s">
        <v>154</v>
      </c>
    </row>
    <row r="183" spans="1:11" s="33" customFormat="1" x14ac:dyDescent="0.2">
      <c r="A183" s="28" t="s">
        <v>416</v>
      </c>
      <c r="B183" s="28"/>
      <c r="C183" s="32" t="s">
        <v>66</v>
      </c>
      <c r="D183" s="33">
        <v>600</v>
      </c>
      <c r="E183" s="27" t="s">
        <v>68</v>
      </c>
      <c r="F183" s="27" t="str">
        <f t="shared" si="10"/>
        <v>ZargenVIONARO H249600Silver grey</v>
      </c>
      <c r="G183" s="28" t="s">
        <v>523</v>
      </c>
      <c r="H183" s="28" t="str">
        <f t="shared" si="11"/>
        <v>F135106792</v>
      </c>
      <c r="I183" s="28" t="s">
        <v>285</v>
      </c>
      <c r="J183" s="28" t="s">
        <v>532</v>
      </c>
      <c r="K183" s="28" t="s">
        <v>157</v>
      </c>
    </row>
    <row r="184" spans="1:11" s="33" customFormat="1" x14ac:dyDescent="0.2">
      <c r="A184" s="28" t="s">
        <v>416</v>
      </c>
      <c r="B184" s="28"/>
      <c r="C184" s="32" t="s">
        <v>66</v>
      </c>
      <c r="D184" s="33">
        <v>450</v>
      </c>
      <c r="E184" s="27" t="s">
        <v>69</v>
      </c>
      <c r="F184" s="27" t="str">
        <f t="shared" si="10"/>
        <v>ZargenVIONARO H249450Graphit</v>
      </c>
      <c r="G184" s="28" t="s">
        <v>524</v>
      </c>
      <c r="H184" s="28" t="str">
        <f t="shared" si="11"/>
        <v>F135106874</v>
      </c>
      <c r="I184" s="28" t="s">
        <v>297</v>
      </c>
      <c r="J184" s="28" t="s">
        <v>532</v>
      </c>
      <c r="K184" s="28" t="s">
        <v>175</v>
      </c>
    </row>
    <row r="185" spans="1:11" s="33" customFormat="1" x14ac:dyDescent="0.2">
      <c r="A185" s="28" t="s">
        <v>416</v>
      </c>
      <c r="B185" s="28"/>
      <c r="C185" s="32" t="s">
        <v>66</v>
      </c>
      <c r="D185" s="33">
        <v>500</v>
      </c>
      <c r="E185" s="27" t="s">
        <v>69</v>
      </c>
      <c r="F185" s="27" t="str">
        <f t="shared" si="10"/>
        <v>ZargenVIONARO H249500Graphit</v>
      </c>
      <c r="G185" s="28" t="s">
        <v>525</v>
      </c>
      <c r="H185" s="28" t="str">
        <f t="shared" si="11"/>
        <v>F135106880</v>
      </c>
      <c r="I185" s="28" t="s">
        <v>299</v>
      </c>
      <c r="J185" s="28" t="s">
        <v>532</v>
      </c>
      <c r="K185" s="28" t="s">
        <v>178</v>
      </c>
    </row>
    <row r="186" spans="1:11" s="33" customFormat="1" x14ac:dyDescent="0.2">
      <c r="A186" s="28" t="s">
        <v>416</v>
      </c>
      <c r="B186" s="28"/>
      <c r="C186" s="32" t="s">
        <v>66</v>
      </c>
      <c r="D186" s="33">
        <v>550</v>
      </c>
      <c r="E186" s="27" t="s">
        <v>69</v>
      </c>
      <c r="F186" s="27" t="str">
        <f t="shared" si="10"/>
        <v>ZargenVIONARO H249550Graphit</v>
      </c>
      <c r="G186" s="28" t="s">
        <v>526</v>
      </c>
      <c r="H186" s="28" t="str">
        <f t="shared" si="11"/>
        <v>F135106886</v>
      </c>
      <c r="I186" s="28" t="s">
        <v>301</v>
      </c>
      <c r="J186" s="28" t="s">
        <v>532</v>
      </c>
      <c r="K186" s="28" t="s">
        <v>181</v>
      </c>
    </row>
    <row r="187" spans="1:11" s="33" customFormat="1" x14ac:dyDescent="0.2">
      <c r="A187" s="28" t="s">
        <v>416</v>
      </c>
      <c r="B187" s="28"/>
      <c r="C187" s="32" t="s">
        <v>66</v>
      </c>
      <c r="D187" s="33">
        <v>600</v>
      </c>
      <c r="E187" s="27" t="s">
        <v>69</v>
      </c>
      <c r="F187" s="27" t="str">
        <f t="shared" si="10"/>
        <v>ZargenVIONARO H249600Graphit</v>
      </c>
      <c r="G187" s="28" t="s">
        <v>527</v>
      </c>
      <c r="H187" s="28" t="str">
        <f t="shared" si="11"/>
        <v>F135106892</v>
      </c>
      <c r="I187" s="28" t="s">
        <v>303</v>
      </c>
      <c r="J187" s="28" t="s">
        <v>532</v>
      </c>
      <c r="K187" s="28" t="s">
        <v>184</v>
      </c>
    </row>
    <row r="188" spans="1:11" s="33" customFormat="1" x14ac:dyDescent="0.2">
      <c r="A188" s="28" t="s">
        <v>416</v>
      </c>
      <c r="B188" s="28"/>
      <c r="C188" s="32" t="s">
        <v>66</v>
      </c>
      <c r="D188" s="33">
        <v>450</v>
      </c>
      <c r="E188" s="27" t="s">
        <v>70</v>
      </c>
      <c r="F188" s="27" t="str">
        <f t="shared" ref="F188:F251" si="12">CONCATENATE(A188,B188,C188,D188,E188)</f>
        <v>ZargenVIONARO H249450Snow white</v>
      </c>
      <c r="G188" s="28" t="s">
        <v>528</v>
      </c>
      <c r="H188" s="28" t="str">
        <f t="shared" si="11"/>
        <v>F135106974</v>
      </c>
      <c r="I188" s="28" t="s">
        <v>315</v>
      </c>
      <c r="J188" s="28" t="s">
        <v>532</v>
      </c>
      <c r="K188" s="28" t="s">
        <v>202</v>
      </c>
    </row>
    <row r="189" spans="1:11" s="33" customFormat="1" x14ac:dyDescent="0.2">
      <c r="A189" s="28" t="s">
        <v>416</v>
      </c>
      <c r="B189" s="28"/>
      <c r="C189" s="32" t="s">
        <v>66</v>
      </c>
      <c r="D189" s="33">
        <v>500</v>
      </c>
      <c r="E189" s="27" t="s">
        <v>70</v>
      </c>
      <c r="F189" s="27" t="str">
        <f t="shared" si="12"/>
        <v>ZargenVIONARO H249500Snow white</v>
      </c>
      <c r="G189" s="28" t="s">
        <v>529</v>
      </c>
      <c r="H189" s="28" t="str">
        <f t="shared" si="11"/>
        <v>F135106980</v>
      </c>
      <c r="I189" s="28" t="s">
        <v>317</v>
      </c>
      <c r="J189" s="28" t="s">
        <v>532</v>
      </c>
      <c r="K189" s="28" t="s">
        <v>205</v>
      </c>
    </row>
    <row r="190" spans="1:11" s="33" customFormat="1" x14ac:dyDescent="0.2">
      <c r="A190" s="28" t="s">
        <v>416</v>
      </c>
      <c r="B190" s="28"/>
      <c r="C190" s="32" t="s">
        <v>66</v>
      </c>
      <c r="D190" s="33">
        <v>550</v>
      </c>
      <c r="E190" s="27" t="s">
        <v>70</v>
      </c>
      <c r="F190" s="27" t="str">
        <f t="shared" si="12"/>
        <v>ZargenVIONARO H249550Snow white</v>
      </c>
      <c r="G190" s="28" t="s">
        <v>530</v>
      </c>
      <c r="H190" s="28" t="str">
        <f t="shared" si="11"/>
        <v>F135106986</v>
      </c>
      <c r="I190" s="28" t="s">
        <v>319</v>
      </c>
      <c r="J190" s="28" t="s">
        <v>532</v>
      </c>
      <c r="K190" s="28" t="s">
        <v>208</v>
      </c>
    </row>
    <row r="191" spans="1:11" s="33" customFormat="1" x14ac:dyDescent="0.2">
      <c r="A191" s="28" t="s">
        <v>416</v>
      </c>
      <c r="B191" s="28"/>
      <c r="C191" s="32" t="s">
        <v>66</v>
      </c>
      <c r="D191" s="33">
        <v>600</v>
      </c>
      <c r="E191" s="27" t="s">
        <v>70</v>
      </c>
      <c r="F191" s="27" t="str">
        <f t="shared" si="12"/>
        <v>ZargenVIONARO H249600Snow white</v>
      </c>
      <c r="G191" s="28" t="s">
        <v>531</v>
      </c>
      <c r="H191" s="28" t="str">
        <f t="shared" si="11"/>
        <v>F135106992</v>
      </c>
      <c r="I191" s="28" t="s">
        <v>321</v>
      </c>
      <c r="J191" s="28" t="s">
        <v>532</v>
      </c>
      <c r="K191" s="28" t="s">
        <v>211</v>
      </c>
    </row>
    <row r="192" spans="1:11" s="33" customFormat="1" x14ac:dyDescent="0.2">
      <c r="A192" s="28" t="s">
        <v>418</v>
      </c>
      <c r="B192" s="28" t="s">
        <v>417</v>
      </c>
      <c r="C192" s="32" t="s">
        <v>1</v>
      </c>
      <c r="E192" s="27" t="s">
        <v>67</v>
      </c>
      <c r="F192" s="27" t="str">
        <f t="shared" si="12"/>
        <v>BefestigungInnenblendeVIONARO H89Aluminium Natur</v>
      </c>
      <c r="G192" s="26" t="s">
        <v>389</v>
      </c>
      <c r="H192" s="28" t="str">
        <f t="shared" si="11"/>
        <v>F136100277</v>
      </c>
      <c r="I192" s="28" t="s">
        <v>390</v>
      </c>
      <c r="J192" s="28" t="s">
        <v>391</v>
      </c>
      <c r="K192" s="28" t="s">
        <v>392</v>
      </c>
    </row>
    <row r="193" spans="1:11" s="33" customFormat="1" x14ac:dyDescent="0.2">
      <c r="A193" s="28" t="s">
        <v>418</v>
      </c>
      <c r="B193" s="28" t="s">
        <v>417</v>
      </c>
      <c r="C193" s="32" t="s">
        <v>3</v>
      </c>
      <c r="E193" s="27" t="s">
        <v>67</v>
      </c>
      <c r="F193" s="27" t="str">
        <f t="shared" si="12"/>
        <v>BefestigungInnenblendeVIONARO H185Aluminium Natur</v>
      </c>
      <c r="G193" s="26" t="s">
        <v>399</v>
      </c>
      <c r="H193" s="28" t="str">
        <f t="shared" si="11"/>
        <v>F136100318</v>
      </c>
      <c r="I193" s="28" t="s">
        <v>400</v>
      </c>
      <c r="J193" s="28" t="s">
        <v>391</v>
      </c>
      <c r="K193" s="28" t="s">
        <v>401</v>
      </c>
    </row>
    <row r="194" spans="1:11" x14ac:dyDescent="0.2">
      <c r="A194" s="28" t="s">
        <v>416</v>
      </c>
      <c r="C194" s="32" t="s">
        <v>2</v>
      </c>
      <c r="D194" s="28">
        <v>270</v>
      </c>
      <c r="E194" s="27" t="s">
        <v>67</v>
      </c>
      <c r="F194" s="27" t="str">
        <f t="shared" si="12"/>
        <v>ZargenVIONARO H121270Aluminium Natur</v>
      </c>
      <c r="G194" s="49" t="s">
        <v>533</v>
      </c>
      <c r="H194" s="28" t="str">
        <f t="shared" si="11"/>
        <v>F135123753</v>
      </c>
      <c r="I194" s="27" t="s">
        <v>534</v>
      </c>
      <c r="J194" s="27" t="s">
        <v>535</v>
      </c>
      <c r="K194" s="27" t="s">
        <v>536</v>
      </c>
    </row>
    <row r="195" spans="1:11" x14ac:dyDescent="0.2">
      <c r="A195" s="28" t="s">
        <v>416</v>
      </c>
      <c r="C195" s="32" t="s">
        <v>2</v>
      </c>
      <c r="D195" s="28">
        <v>300</v>
      </c>
      <c r="E195" s="27" t="s">
        <v>67</v>
      </c>
      <c r="F195" s="27" t="str">
        <f t="shared" si="12"/>
        <v>ZargenVIONARO H121300Aluminium Natur</v>
      </c>
      <c r="G195" s="49" t="s">
        <v>537</v>
      </c>
      <c r="H195" s="28" t="str">
        <f t="shared" si="11"/>
        <v>F135123756</v>
      </c>
      <c r="I195" s="27" t="s">
        <v>538</v>
      </c>
      <c r="J195" s="27" t="s">
        <v>535</v>
      </c>
      <c r="K195" s="27" t="s">
        <v>539</v>
      </c>
    </row>
    <row r="196" spans="1:11" x14ac:dyDescent="0.2">
      <c r="A196" s="28" t="s">
        <v>416</v>
      </c>
      <c r="C196" s="32" t="s">
        <v>2</v>
      </c>
      <c r="D196" s="28">
        <v>350</v>
      </c>
      <c r="E196" s="27" t="s">
        <v>67</v>
      </c>
      <c r="F196" s="27" t="str">
        <f t="shared" si="12"/>
        <v>ZargenVIONARO H121350Aluminium Natur</v>
      </c>
      <c r="G196" s="29" t="s">
        <v>540</v>
      </c>
      <c r="H196" s="28" t="str">
        <f t="shared" si="11"/>
        <v>F135123762</v>
      </c>
      <c r="I196" s="27" t="s">
        <v>541</v>
      </c>
      <c r="J196" s="27" t="s">
        <v>535</v>
      </c>
      <c r="K196" s="27" t="s">
        <v>542</v>
      </c>
    </row>
    <row r="197" spans="1:11" x14ac:dyDescent="0.2">
      <c r="A197" s="28" t="s">
        <v>416</v>
      </c>
      <c r="C197" s="32" t="s">
        <v>2</v>
      </c>
      <c r="D197" s="28">
        <v>400</v>
      </c>
      <c r="E197" s="27" t="s">
        <v>67</v>
      </c>
      <c r="F197" s="27" t="str">
        <f t="shared" si="12"/>
        <v>ZargenVIONARO H121400Aluminium Natur</v>
      </c>
      <c r="G197" s="29" t="s">
        <v>543</v>
      </c>
      <c r="H197" s="28" t="str">
        <f t="shared" si="11"/>
        <v>F135123768</v>
      </c>
      <c r="I197" s="27" t="s">
        <v>544</v>
      </c>
      <c r="J197" s="27" t="s">
        <v>535</v>
      </c>
      <c r="K197" s="27" t="s">
        <v>545</v>
      </c>
    </row>
    <row r="198" spans="1:11" x14ac:dyDescent="0.2">
      <c r="A198" s="28" t="s">
        <v>416</v>
      </c>
      <c r="C198" s="32" t="s">
        <v>2</v>
      </c>
      <c r="D198" s="28">
        <v>450</v>
      </c>
      <c r="E198" s="27" t="s">
        <v>67</v>
      </c>
      <c r="F198" s="27" t="str">
        <f t="shared" si="12"/>
        <v>ZargenVIONARO H121450Aluminium Natur</v>
      </c>
      <c r="G198" s="29" t="s">
        <v>546</v>
      </c>
      <c r="H198" s="28" t="str">
        <f t="shared" si="11"/>
        <v>F135123774</v>
      </c>
      <c r="I198" s="27" t="s">
        <v>547</v>
      </c>
      <c r="J198" s="27" t="s">
        <v>535</v>
      </c>
      <c r="K198" s="27" t="s">
        <v>548</v>
      </c>
    </row>
    <row r="199" spans="1:11" x14ac:dyDescent="0.2">
      <c r="A199" s="28" t="s">
        <v>416</v>
      </c>
      <c r="C199" s="32" t="s">
        <v>2</v>
      </c>
      <c r="D199" s="28">
        <v>500</v>
      </c>
      <c r="E199" s="27" t="s">
        <v>67</v>
      </c>
      <c r="F199" s="27" t="str">
        <f t="shared" si="12"/>
        <v>ZargenVIONARO H121500Aluminium Natur</v>
      </c>
      <c r="G199" s="29" t="s">
        <v>549</v>
      </c>
      <c r="H199" s="28" t="str">
        <f t="shared" si="11"/>
        <v>F135123780</v>
      </c>
      <c r="I199" s="27" t="s">
        <v>550</v>
      </c>
      <c r="J199" s="27" t="s">
        <v>535</v>
      </c>
      <c r="K199" s="27" t="s">
        <v>551</v>
      </c>
    </row>
    <row r="200" spans="1:11" x14ac:dyDescent="0.2">
      <c r="A200" s="28" t="s">
        <v>416</v>
      </c>
      <c r="C200" s="32" t="s">
        <v>2</v>
      </c>
      <c r="D200" s="28">
        <v>550</v>
      </c>
      <c r="E200" s="27" t="s">
        <v>67</v>
      </c>
      <c r="F200" s="27" t="str">
        <f t="shared" si="12"/>
        <v>ZargenVIONARO H121550Aluminium Natur</v>
      </c>
      <c r="G200" s="29" t="s">
        <v>552</v>
      </c>
      <c r="H200" s="28" t="str">
        <f t="shared" si="11"/>
        <v>F135123786</v>
      </c>
      <c r="I200" s="27" t="s">
        <v>553</v>
      </c>
      <c r="J200" s="27" t="s">
        <v>535</v>
      </c>
      <c r="K200" s="27" t="s">
        <v>554</v>
      </c>
    </row>
    <row r="201" spans="1:11" x14ac:dyDescent="0.2">
      <c r="A201" s="28" t="s">
        <v>416</v>
      </c>
      <c r="C201" s="32" t="s">
        <v>2</v>
      </c>
      <c r="D201" s="28">
        <v>600</v>
      </c>
      <c r="E201" s="27" t="s">
        <v>67</v>
      </c>
      <c r="F201" s="27" t="str">
        <f t="shared" si="12"/>
        <v>ZargenVIONARO H121600Aluminium Natur</v>
      </c>
      <c r="G201" s="49" t="s">
        <v>555</v>
      </c>
      <c r="H201" s="28" t="str">
        <f t="shared" si="11"/>
        <v>F135123792</v>
      </c>
      <c r="I201" s="27" t="s">
        <v>556</v>
      </c>
      <c r="J201" s="27" t="s">
        <v>535</v>
      </c>
      <c r="K201" s="27" t="s">
        <v>557</v>
      </c>
    </row>
    <row r="202" spans="1:11" x14ac:dyDescent="0.2">
      <c r="A202" s="28" t="s">
        <v>416</v>
      </c>
      <c r="C202" s="32" t="s">
        <v>2</v>
      </c>
      <c r="D202" s="28">
        <v>650</v>
      </c>
      <c r="E202" s="27" t="s">
        <v>67</v>
      </c>
      <c r="F202" s="27" t="str">
        <f t="shared" si="12"/>
        <v>ZargenVIONARO H121650Aluminium Natur</v>
      </c>
      <c r="G202" s="49" t="s">
        <v>558</v>
      </c>
      <c r="H202" s="28" t="str">
        <f t="shared" si="11"/>
        <v>F135123795</v>
      </c>
      <c r="I202" s="27" t="s">
        <v>559</v>
      </c>
      <c r="J202" s="27" t="s">
        <v>535</v>
      </c>
      <c r="K202" s="27" t="s">
        <v>560</v>
      </c>
    </row>
    <row r="203" spans="1:11" s="33" customFormat="1" x14ac:dyDescent="0.2">
      <c r="A203" s="28" t="s">
        <v>418</v>
      </c>
      <c r="B203" s="28" t="s">
        <v>423</v>
      </c>
      <c r="C203" s="32" t="s">
        <v>0</v>
      </c>
      <c r="E203" s="27" t="s">
        <v>68</v>
      </c>
      <c r="F203" s="27" t="str">
        <f t="shared" si="12"/>
        <v>BefestigungSpreizdübel Ø 8 mmVIONARO H63Silver grey</v>
      </c>
      <c r="G203" s="31" t="s">
        <v>347</v>
      </c>
      <c r="H203" s="28" t="str">
        <f t="shared" si="11"/>
        <v>F136101003</v>
      </c>
      <c r="I203" s="28" t="s">
        <v>348</v>
      </c>
      <c r="J203" s="28" t="s">
        <v>349</v>
      </c>
      <c r="K203" s="28" t="s">
        <v>350</v>
      </c>
    </row>
    <row r="204" spans="1:11" s="33" customFormat="1" x14ac:dyDescent="0.2">
      <c r="A204" s="28" t="s">
        <v>418</v>
      </c>
      <c r="B204" s="28" t="s">
        <v>423</v>
      </c>
      <c r="C204" s="32" t="s">
        <v>0</v>
      </c>
      <c r="E204" s="27" t="s">
        <v>69</v>
      </c>
      <c r="F204" s="27" t="str">
        <f t="shared" si="12"/>
        <v>BefestigungSpreizdübel Ø 8 mmVIONARO H63Graphit</v>
      </c>
      <c r="G204" s="31" t="s">
        <v>351</v>
      </c>
      <c r="H204" s="28" t="str">
        <f t="shared" si="11"/>
        <v>F136101004</v>
      </c>
      <c r="I204" s="28" t="s">
        <v>352</v>
      </c>
      <c r="J204" s="28" t="s">
        <v>349</v>
      </c>
      <c r="K204" s="28" t="s">
        <v>353</v>
      </c>
    </row>
    <row r="205" spans="1:11" s="33" customFormat="1" x14ac:dyDescent="0.2">
      <c r="A205" s="28" t="s">
        <v>418</v>
      </c>
      <c r="B205" s="28" t="s">
        <v>423</v>
      </c>
      <c r="C205" s="32" t="s">
        <v>0</v>
      </c>
      <c r="E205" s="27" t="s">
        <v>70</v>
      </c>
      <c r="F205" s="27" t="str">
        <f t="shared" si="12"/>
        <v>BefestigungSpreizdübel Ø 8 mmVIONARO H63Snow white</v>
      </c>
      <c r="G205" s="31" t="s">
        <v>354</v>
      </c>
      <c r="H205" s="28" t="str">
        <f t="shared" si="11"/>
        <v>F136101005</v>
      </c>
      <c r="I205" s="28" t="s">
        <v>355</v>
      </c>
      <c r="J205" s="28" t="s">
        <v>349</v>
      </c>
      <c r="K205" s="28" t="s">
        <v>356</v>
      </c>
    </row>
    <row r="206" spans="1:11" s="33" customFormat="1" x14ac:dyDescent="0.2">
      <c r="A206" s="28" t="s">
        <v>418</v>
      </c>
      <c r="B206" s="28" t="s">
        <v>423</v>
      </c>
      <c r="C206" s="32" t="s">
        <v>0</v>
      </c>
      <c r="E206" s="27" t="s">
        <v>67</v>
      </c>
      <c r="F206" s="27" t="str">
        <f t="shared" si="12"/>
        <v>BefestigungSpreizdübel Ø 8 mmVIONARO H63Aluminium Natur</v>
      </c>
      <c r="G206" s="31" t="s">
        <v>347</v>
      </c>
      <c r="H206" s="28" t="str">
        <f t="shared" si="11"/>
        <v>F136101003</v>
      </c>
      <c r="I206" s="28" t="s">
        <v>348</v>
      </c>
      <c r="J206" s="28" t="s">
        <v>349</v>
      </c>
      <c r="K206" s="28" t="s">
        <v>350</v>
      </c>
    </row>
    <row r="207" spans="1:11" s="33" customFormat="1" x14ac:dyDescent="0.2">
      <c r="A207" s="28" t="s">
        <v>416</v>
      </c>
      <c r="B207" s="28"/>
      <c r="C207" s="32" t="s">
        <v>0</v>
      </c>
      <c r="D207" s="33">
        <v>450</v>
      </c>
      <c r="E207" s="27" t="s">
        <v>71</v>
      </c>
      <c r="F207" s="27" t="str">
        <f t="shared" si="12"/>
        <v>ZargenVIONARO H63450Golden brown</v>
      </c>
      <c r="G207" s="28" t="e">
        <f>HLOOKUP(VIONARO!I4,Übersetzung,39,FALSE)</f>
        <v>#N/A</v>
      </c>
      <c r="H207" s="28" t="s">
        <v>63</v>
      </c>
      <c r="I207" s="28"/>
      <c r="J207" s="28" t="e">
        <f>HLOOKUP(VIONARO!I4,Übersetzung,39,FALSE)</f>
        <v>#N/A</v>
      </c>
      <c r="K207" s="28" t="e">
        <f>HLOOKUP(VIONARO!I4,Übersetzung,39,FALSE)</f>
        <v>#N/A</v>
      </c>
    </row>
    <row r="208" spans="1:11" s="33" customFormat="1" x14ac:dyDescent="0.2">
      <c r="A208" s="28" t="s">
        <v>416</v>
      </c>
      <c r="B208" s="28"/>
      <c r="C208" s="32" t="s">
        <v>0</v>
      </c>
      <c r="D208" s="33">
        <v>500</v>
      </c>
      <c r="E208" s="27" t="s">
        <v>71</v>
      </c>
      <c r="F208" s="27" t="str">
        <f t="shared" si="12"/>
        <v>ZargenVIONARO H63500Golden brown</v>
      </c>
      <c r="G208" s="28" t="e">
        <f>HLOOKUP(VIONARO!I4,Übersetzung,39,FALSE)</f>
        <v>#N/A</v>
      </c>
      <c r="H208" s="28" t="s">
        <v>63</v>
      </c>
      <c r="I208" s="28"/>
      <c r="J208" s="28" t="e">
        <f>HLOOKUP(VIONARO!I4,Übersetzung,39,FALSE)</f>
        <v>#N/A</v>
      </c>
      <c r="K208" s="28" t="e">
        <f>HLOOKUP(VIONARO!I4,Übersetzung,39,FALSE)</f>
        <v>#N/A</v>
      </c>
    </row>
    <row r="209" spans="1:11" s="33" customFormat="1" x14ac:dyDescent="0.2">
      <c r="A209" s="28" t="s">
        <v>416</v>
      </c>
      <c r="B209" s="28"/>
      <c r="C209" s="32" t="s">
        <v>0</v>
      </c>
      <c r="D209" s="33">
        <v>550</v>
      </c>
      <c r="E209" s="27" t="s">
        <v>71</v>
      </c>
      <c r="F209" s="27" t="str">
        <f t="shared" si="12"/>
        <v>ZargenVIONARO H63550Golden brown</v>
      </c>
      <c r="G209" s="28" t="e">
        <f>HLOOKUP(VIONARO!I4,Übersetzung,39,FALSE)</f>
        <v>#N/A</v>
      </c>
      <c r="H209" s="28" t="s">
        <v>63</v>
      </c>
      <c r="I209" s="28"/>
      <c r="J209" s="28" t="e">
        <f>HLOOKUP(VIONARO!I4,Übersetzung,39,FALSE)</f>
        <v>#N/A</v>
      </c>
      <c r="K209" s="28" t="e">
        <f>HLOOKUP(VIONARO!I4,Übersetzung,39,FALSE)</f>
        <v>#N/A</v>
      </c>
    </row>
    <row r="210" spans="1:11" s="33" customFormat="1" x14ac:dyDescent="0.2">
      <c r="A210" s="28" t="s">
        <v>416</v>
      </c>
      <c r="B210" s="28"/>
      <c r="C210" s="32" t="s">
        <v>1</v>
      </c>
      <c r="D210" s="33">
        <v>270</v>
      </c>
      <c r="E210" s="27" t="s">
        <v>71</v>
      </c>
      <c r="F210" s="27" t="str">
        <f t="shared" si="12"/>
        <v>ZargenVIONARO H89270Golden brown</v>
      </c>
      <c r="G210" s="28" t="e">
        <f>HLOOKUP(VIONARO!I4,Übersetzung,39,FALSE)</f>
        <v>#N/A</v>
      </c>
      <c r="H210" s="28" t="s">
        <v>63</v>
      </c>
      <c r="I210" s="28"/>
      <c r="J210" s="28" t="e">
        <f>HLOOKUP(VIONARO!I4,Übersetzung,39,FALSE)</f>
        <v>#N/A</v>
      </c>
      <c r="K210" s="28" t="e">
        <f>HLOOKUP(VIONARO!I4,Übersetzung,39,FALSE)</f>
        <v>#N/A</v>
      </c>
    </row>
    <row r="211" spans="1:11" s="33" customFormat="1" x14ac:dyDescent="0.2">
      <c r="A211" s="28" t="s">
        <v>416</v>
      </c>
      <c r="B211" s="28"/>
      <c r="C211" s="32" t="s">
        <v>1</v>
      </c>
      <c r="D211" s="33">
        <v>300</v>
      </c>
      <c r="E211" s="27" t="s">
        <v>71</v>
      </c>
      <c r="F211" s="27" t="str">
        <f t="shared" si="12"/>
        <v>ZargenVIONARO H89300Golden brown</v>
      </c>
      <c r="G211" s="28" t="e">
        <f>HLOOKUP(VIONARO!I4,Übersetzung,39,FALSE)</f>
        <v>#N/A</v>
      </c>
      <c r="H211" s="28" t="s">
        <v>63</v>
      </c>
      <c r="I211" s="28"/>
      <c r="J211" s="28" t="e">
        <f>HLOOKUP(VIONARO!I4,Übersetzung,39,FALSE)</f>
        <v>#N/A</v>
      </c>
      <c r="K211" s="28" t="e">
        <f>HLOOKUP(VIONARO!I4,Übersetzung,39,FALSE)</f>
        <v>#N/A</v>
      </c>
    </row>
    <row r="212" spans="1:11" s="33" customFormat="1" x14ac:dyDescent="0.2">
      <c r="A212" s="28" t="s">
        <v>416</v>
      </c>
      <c r="B212" s="28"/>
      <c r="C212" s="32" t="s">
        <v>1</v>
      </c>
      <c r="D212" s="33">
        <v>350</v>
      </c>
      <c r="E212" s="27" t="s">
        <v>71</v>
      </c>
      <c r="F212" s="27" t="str">
        <f t="shared" si="12"/>
        <v>ZargenVIONARO H89350Golden brown</v>
      </c>
      <c r="G212" s="28" t="e">
        <f>HLOOKUP(VIONARO!I4,Übersetzung,39,FALSE)</f>
        <v>#N/A</v>
      </c>
      <c r="H212" s="28" t="s">
        <v>63</v>
      </c>
      <c r="I212" s="28"/>
      <c r="J212" s="28" t="e">
        <f>HLOOKUP(VIONARO!I4,Übersetzung,39,FALSE)</f>
        <v>#N/A</v>
      </c>
      <c r="K212" s="28" t="e">
        <f>HLOOKUP(VIONARO!I4,Übersetzung,39,FALSE)</f>
        <v>#N/A</v>
      </c>
    </row>
    <row r="213" spans="1:11" s="33" customFormat="1" x14ac:dyDescent="0.2">
      <c r="A213" s="28" t="s">
        <v>416</v>
      </c>
      <c r="B213" s="28"/>
      <c r="C213" s="32" t="s">
        <v>1</v>
      </c>
      <c r="D213" s="33">
        <v>400</v>
      </c>
      <c r="E213" s="27" t="s">
        <v>71</v>
      </c>
      <c r="F213" s="27" t="str">
        <f t="shared" si="12"/>
        <v>ZargenVIONARO H89400Golden brown</v>
      </c>
      <c r="G213" s="28" t="s">
        <v>569</v>
      </c>
      <c r="H213" s="28" t="str">
        <f t="shared" si="11"/>
        <v>F135120718</v>
      </c>
      <c r="I213" s="28"/>
      <c r="J213" s="28" t="s">
        <v>133</v>
      </c>
      <c r="K213" s="28" t="s">
        <v>561</v>
      </c>
    </row>
    <row r="214" spans="1:11" s="33" customFormat="1" x14ac:dyDescent="0.2">
      <c r="A214" s="28" t="s">
        <v>416</v>
      </c>
      <c r="B214" s="28"/>
      <c r="C214" s="32" t="s">
        <v>1</v>
      </c>
      <c r="D214" s="33">
        <v>450</v>
      </c>
      <c r="E214" s="27" t="s">
        <v>71</v>
      </c>
      <c r="F214" s="27" t="str">
        <f t="shared" si="12"/>
        <v>ZargenVIONARO H89450Golden brown</v>
      </c>
      <c r="G214" s="28" t="s">
        <v>570</v>
      </c>
      <c r="H214" s="28" t="str">
        <f t="shared" si="11"/>
        <v>F135120724</v>
      </c>
      <c r="I214" s="28"/>
      <c r="J214" s="28" t="s">
        <v>133</v>
      </c>
      <c r="K214" s="28" t="s">
        <v>562</v>
      </c>
    </row>
    <row r="215" spans="1:11" s="33" customFormat="1" x14ac:dyDescent="0.2">
      <c r="A215" s="28" t="s">
        <v>416</v>
      </c>
      <c r="B215" s="28"/>
      <c r="C215" s="32" t="s">
        <v>1</v>
      </c>
      <c r="D215" s="33">
        <v>500</v>
      </c>
      <c r="E215" s="27" t="s">
        <v>71</v>
      </c>
      <c r="F215" s="27" t="str">
        <f t="shared" si="12"/>
        <v>ZargenVIONARO H89500Golden brown</v>
      </c>
      <c r="G215" s="28" t="s">
        <v>571</v>
      </c>
      <c r="H215" s="28" t="str">
        <f t="shared" si="11"/>
        <v>F135120733</v>
      </c>
      <c r="I215" s="28"/>
      <c r="J215" s="28" t="s">
        <v>133</v>
      </c>
      <c r="K215" s="28" t="s">
        <v>563</v>
      </c>
    </row>
    <row r="216" spans="1:11" s="33" customFormat="1" x14ac:dyDescent="0.2">
      <c r="A216" s="28" t="s">
        <v>416</v>
      </c>
      <c r="B216" s="28"/>
      <c r="C216" s="32" t="s">
        <v>1</v>
      </c>
      <c r="D216" s="33">
        <v>550</v>
      </c>
      <c r="E216" s="27" t="s">
        <v>71</v>
      </c>
      <c r="F216" s="27" t="str">
        <f t="shared" si="12"/>
        <v>ZargenVIONARO H89550Golden brown</v>
      </c>
      <c r="G216" s="28" t="e">
        <f>HLOOKUP(VIONARO!I4,Übersetzung,39,FALSE)</f>
        <v>#N/A</v>
      </c>
      <c r="H216" s="28" t="s">
        <v>63</v>
      </c>
      <c r="I216" s="28"/>
      <c r="J216" s="28" t="e">
        <f>HLOOKUP(VIONARO!I4,Übersetzung,39,FALSE)</f>
        <v>#N/A</v>
      </c>
      <c r="K216" s="28" t="e">
        <f>HLOOKUP(VIONARO!I4,Übersetzung,39,FALSE)</f>
        <v>#N/A</v>
      </c>
    </row>
    <row r="217" spans="1:11" s="33" customFormat="1" x14ac:dyDescent="0.2">
      <c r="A217" s="28" t="s">
        <v>416</v>
      </c>
      <c r="B217" s="28"/>
      <c r="C217" s="32" t="s">
        <v>1</v>
      </c>
      <c r="D217" s="33">
        <v>600</v>
      </c>
      <c r="E217" s="27" t="s">
        <v>71</v>
      </c>
      <c r="F217" s="27" t="str">
        <f t="shared" si="12"/>
        <v>ZargenVIONARO H89600Golden brown</v>
      </c>
      <c r="G217" s="28" t="e">
        <f>HLOOKUP(VIONARO!I4,Übersetzung,39,FALSE)</f>
        <v>#N/A</v>
      </c>
      <c r="H217" s="28" t="s">
        <v>63</v>
      </c>
      <c r="I217" s="28"/>
      <c r="J217" s="28" t="e">
        <f>HLOOKUP(VIONARO!I4,Übersetzung,39,FALSE)</f>
        <v>#N/A</v>
      </c>
      <c r="K217" s="28" t="e">
        <f>HLOOKUP(VIONARO!I4,Übersetzung,39,FALSE)</f>
        <v>#N/A</v>
      </c>
    </row>
    <row r="218" spans="1:11" s="33" customFormat="1" x14ac:dyDescent="0.2">
      <c r="A218" s="28" t="s">
        <v>416</v>
      </c>
      <c r="B218" s="28"/>
      <c r="C218" s="32" t="s">
        <v>1</v>
      </c>
      <c r="D218" s="33">
        <v>650</v>
      </c>
      <c r="E218" s="27" t="s">
        <v>71</v>
      </c>
      <c r="F218" s="27" t="str">
        <f t="shared" si="12"/>
        <v>ZargenVIONARO H89650Golden brown</v>
      </c>
      <c r="G218" s="28" t="e">
        <f>HLOOKUP(VIONARO!I4,Übersetzung,39,FALSE)</f>
        <v>#N/A</v>
      </c>
      <c r="H218" s="28" t="s">
        <v>63</v>
      </c>
      <c r="I218" s="28"/>
      <c r="J218" s="28" t="e">
        <f>HLOOKUP(VIONARO!I4,Übersetzung,39,FALSE)</f>
        <v>#N/A</v>
      </c>
      <c r="K218" s="28" t="e">
        <f>HLOOKUP(VIONARO!I4,Übersetzung,39,FALSE)</f>
        <v>#N/A</v>
      </c>
    </row>
    <row r="219" spans="1:11" s="33" customFormat="1" x14ac:dyDescent="0.2">
      <c r="A219" s="28" t="s">
        <v>416</v>
      </c>
      <c r="B219" s="28"/>
      <c r="C219" s="32" t="s">
        <v>2</v>
      </c>
      <c r="D219" s="33">
        <v>350</v>
      </c>
      <c r="E219" s="27" t="s">
        <v>71</v>
      </c>
      <c r="F219" s="27" t="str">
        <f t="shared" si="12"/>
        <v>ZargenVIONARO H121350Golden brown</v>
      </c>
      <c r="G219" s="28" t="e">
        <f>HLOOKUP(VIONARO!I4,Übersetzung,39,FALSE)</f>
        <v>#N/A</v>
      </c>
      <c r="H219" s="28" t="s">
        <v>63</v>
      </c>
      <c r="I219" s="28"/>
      <c r="J219" s="28" t="e">
        <f>HLOOKUP(VIONARO!I4,Übersetzung,39,FALSE)</f>
        <v>#N/A</v>
      </c>
      <c r="K219" s="28" t="e">
        <f>HLOOKUP(VIONARO!I4,Übersetzung,39,FALSE)</f>
        <v>#N/A</v>
      </c>
    </row>
    <row r="220" spans="1:11" s="33" customFormat="1" x14ac:dyDescent="0.2">
      <c r="A220" s="28" t="s">
        <v>416</v>
      </c>
      <c r="B220" s="28"/>
      <c r="C220" s="32" t="s">
        <v>2</v>
      </c>
      <c r="D220" s="33">
        <v>400</v>
      </c>
      <c r="E220" s="27" t="s">
        <v>71</v>
      </c>
      <c r="F220" s="27" t="str">
        <f t="shared" si="12"/>
        <v>ZargenVIONARO H121400Golden brown</v>
      </c>
      <c r="G220" s="28" t="e">
        <f>HLOOKUP(VIONARO!I4,Übersetzung,39,FALSE)</f>
        <v>#N/A</v>
      </c>
      <c r="H220" s="28" t="s">
        <v>63</v>
      </c>
      <c r="I220" s="28"/>
      <c r="J220" s="28" t="e">
        <f>HLOOKUP(VIONARO!I4,Übersetzung,39,FALSE)</f>
        <v>#N/A</v>
      </c>
      <c r="K220" s="28" t="e">
        <f>HLOOKUP(VIONARO!I4,Übersetzung,39,FALSE)</f>
        <v>#N/A</v>
      </c>
    </row>
    <row r="221" spans="1:11" s="33" customFormat="1" x14ac:dyDescent="0.2">
      <c r="A221" s="28" t="s">
        <v>416</v>
      </c>
      <c r="B221" s="28"/>
      <c r="C221" s="32" t="s">
        <v>2</v>
      </c>
      <c r="D221" s="33">
        <v>450</v>
      </c>
      <c r="E221" s="27" t="s">
        <v>71</v>
      </c>
      <c r="F221" s="27" t="str">
        <f t="shared" si="12"/>
        <v>ZargenVIONARO H121450Golden brown</v>
      </c>
      <c r="G221" s="28" t="e">
        <f>HLOOKUP(VIONARO!I4,Übersetzung,39,FALSE)</f>
        <v>#N/A</v>
      </c>
      <c r="H221" s="28" t="s">
        <v>63</v>
      </c>
      <c r="I221" s="28"/>
      <c r="J221" s="28" t="e">
        <f>HLOOKUP(VIONARO!I4,Übersetzung,39,FALSE)</f>
        <v>#N/A</v>
      </c>
      <c r="K221" s="28" t="e">
        <f>HLOOKUP(VIONARO!I4,Übersetzung,39,FALSE)</f>
        <v>#N/A</v>
      </c>
    </row>
    <row r="222" spans="1:11" s="33" customFormat="1" x14ac:dyDescent="0.2">
      <c r="A222" s="28" t="s">
        <v>416</v>
      </c>
      <c r="B222" s="28"/>
      <c r="C222" s="32" t="s">
        <v>2</v>
      </c>
      <c r="D222" s="33">
        <v>500</v>
      </c>
      <c r="E222" s="27" t="s">
        <v>71</v>
      </c>
      <c r="F222" s="27" t="str">
        <f t="shared" si="12"/>
        <v>ZargenVIONARO H121500Golden brown</v>
      </c>
      <c r="G222" s="28" t="e">
        <f>HLOOKUP(VIONARO!I4,Übersetzung,39,FALSE)</f>
        <v>#N/A</v>
      </c>
      <c r="H222" s="28" t="s">
        <v>63</v>
      </c>
      <c r="I222" s="28"/>
      <c r="J222" s="28" t="e">
        <f>HLOOKUP(VIONARO!I4,Übersetzung,39,FALSE)</f>
        <v>#N/A</v>
      </c>
      <c r="K222" s="28" t="e">
        <f>HLOOKUP(VIONARO!I4,Übersetzung,39,FALSE)</f>
        <v>#N/A</v>
      </c>
    </row>
    <row r="223" spans="1:11" s="33" customFormat="1" x14ac:dyDescent="0.2">
      <c r="A223" s="28" t="s">
        <v>416</v>
      </c>
      <c r="B223" s="28"/>
      <c r="C223" s="32" t="s">
        <v>2</v>
      </c>
      <c r="D223" s="33">
        <v>550</v>
      </c>
      <c r="E223" s="27" t="s">
        <v>71</v>
      </c>
      <c r="F223" s="27" t="str">
        <f t="shared" si="12"/>
        <v>ZargenVIONARO H121550Golden brown</v>
      </c>
      <c r="G223" s="28" t="e">
        <f>HLOOKUP(VIONARO!I4,Übersetzung,39,FALSE)</f>
        <v>#N/A</v>
      </c>
      <c r="H223" s="28" t="s">
        <v>63</v>
      </c>
      <c r="I223" s="28"/>
      <c r="J223" s="28" t="e">
        <f>HLOOKUP(VIONARO!I4,Übersetzung,39,FALSE)</f>
        <v>#N/A</v>
      </c>
      <c r="K223" s="28" t="e">
        <f>HLOOKUP(VIONARO!I4,Übersetzung,39,FALSE)</f>
        <v>#N/A</v>
      </c>
    </row>
    <row r="224" spans="1:11" s="33" customFormat="1" x14ac:dyDescent="0.2">
      <c r="A224" s="28" t="s">
        <v>416</v>
      </c>
      <c r="B224" s="28"/>
      <c r="C224" s="32" t="s">
        <v>3</v>
      </c>
      <c r="D224" s="33">
        <v>270</v>
      </c>
      <c r="E224" s="27" t="s">
        <v>71</v>
      </c>
      <c r="F224" s="27" t="str">
        <f t="shared" si="12"/>
        <v>ZargenVIONARO H185270Golden brown</v>
      </c>
      <c r="G224" s="28" t="e">
        <f>HLOOKUP(VIONARO!I4,Übersetzung,39,FALSE)</f>
        <v>#N/A</v>
      </c>
      <c r="H224" s="28" t="s">
        <v>63</v>
      </c>
      <c r="I224" s="28"/>
      <c r="J224" s="28" t="e">
        <f>HLOOKUP(VIONARO!I4,Übersetzung,39,FALSE)</f>
        <v>#N/A</v>
      </c>
      <c r="K224" s="28" t="e">
        <f>HLOOKUP(VIONARO!I4,Übersetzung,39,FALSE)</f>
        <v>#N/A</v>
      </c>
    </row>
    <row r="225" spans="1:11" s="33" customFormat="1" x14ac:dyDescent="0.2">
      <c r="A225" s="28" t="s">
        <v>416</v>
      </c>
      <c r="B225" s="28"/>
      <c r="C225" s="32" t="s">
        <v>3</v>
      </c>
      <c r="D225" s="33">
        <v>300</v>
      </c>
      <c r="E225" s="27" t="s">
        <v>71</v>
      </c>
      <c r="F225" s="27" t="str">
        <f t="shared" si="12"/>
        <v>ZargenVIONARO H185300Golden brown</v>
      </c>
      <c r="G225" s="28" t="e">
        <f>HLOOKUP(VIONARO!I4,Übersetzung,39,FALSE)</f>
        <v>#N/A</v>
      </c>
      <c r="H225" s="28" t="s">
        <v>63</v>
      </c>
      <c r="I225" s="28"/>
      <c r="J225" s="28" t="e">
        <f>HLOOKUP(VIONARO!I4,Übersetzung,39,FALSE)</f>
        <v>#N/A</v>
      </c>
      <c r="K225" s="28" t="e">
        <f>HLOOKUP(VIONARO!I4,Übersetzung,39,FALSE)</f>
        <v>#N/A</v>
      </c>
    </row>
    <row r="226" spans="1:11" s="33" customFormat="1" x14ac:dyDescent="0.2">
      <c r="A226" s="28" t="s">
        <v>416</v>
      </c>
      <c r="B226" s="28"/>
      <c r="C226" s="32" t="s">
        <v>3</v>
      </c>
      <c r="D226" s="33">
        <v>350</v>
      </c>
      <c r="E226" s="27" t="s">
        <v>71</v>
      </c>
      <c r="F226" s="27" t="str">
        <f t="shared" si="12"/>
        <v>ZargenVIONARO H185350Golden brown</v>
      </c>
      <c r="G226" s="28" t="e">
        <f>HLOOKUP(VIONARO!I4,Übersetzung,39,FALSE)</f>
        <v>#N/A</v>
      </c>
      <c r="H226" s="28" t="s">
        <v>63</v>
      </c>
      <c r="I226" s="28"/>
      <c r="J226" s="28" t="e">
        <f>HLOOKUP(VIONARO!I4,Übersetzung,39,FALSE)</f>
        <v>#N/A</v>
      </c>
      <c r="K226" s="28" t="e">
        <f>HLOOKUP(VIONARO!I4,Übersetzung,39,FALSE)</f>
        <v>#N/A</v>
      </c>
    </row>
    <row r="227" spans="1:11" s="33" customFormat="1" x14ac:dyDescent="0.2">
      <c r="A227" s="28" t="s">
        <v>416</v>
      </c>
      <c r="B227" s="28"/>
      <c r="C227" s="32" t="s">
        <v>3</v>
      </c>
      <c r="D227" s="33">
        <v>400</v>
      </c>
      <c r="E227" s="27" t="s">
        <v>71</v>
      </c>
      <c r="F227" s="27" t="str">
        <f t="shared" si="12"/>
        <v>ZargenVIONARO H185400Golden brown</v>
      </c>
      <c r="G227" s="28" t="s">
        <v>572</v>
      </c>
      <c r="H227" s="28" t="str">
        <f t="shared" si="11"/>
        <v>F135120918</v>
      </c>
      <c r="I227" s="28"/>
      <c r="J227" s="28" t="s">
        <v>269</v>
      </c>
      <c r="K227" s="28" t="s">
        <v>561</v>
      </c>
    </row>
    <row r="228" spans="1:11" s="33" customFormat="1" x14ac:dyDescent="0.2">
      <c r="A228" s="28" t="s">
        <v>416</v>
      </c>
      <c r="B228" s="28"/>
      <c r="C228" s="32" t="s">
        <v>3</v>
      </c>
      <c r="D228" s="33">
        <v>450</v>
      </c>
      <c r="E228" s="27" t="s">
        <v>71</v>
      </c>
      <c r="F228" s="27" t="str">
        <f t="shared" si="12"/>
        <v>ZargenVIONARO H185450Golden brown</v>
      </c>
      <c r="G228" s="28" t="s">
        <v>573</v>
      </c>
      <c r="H228" s="28" t="str">
        <f>LEFT(G228,10)</f>
        <v>F135120924</v>
      </c>
      <c r="I228" s="28"/>
      <c r="J228" s="28" t="s">
        <v>269</v>
      </c>
      <c r="K228" s="28" t="s">
        <v>562</v>
      </c>
    </row>
    <row r="229" spans="1:11" s="33" customFormat="1" x14ac:dyDescent="0.2">
      <c r="A229" s="28" t="s">
        <v>416</v>
      </c>
      <c r="B229" s="28"/>
      <c r="C229" s="32" t="s">
        <v>3</v>
      </c>
      <c r="D229" s="33">
        <v>500</v>
      </c>
      <c r="E229" s="27" t="s">
        <v>71</v>
      </c>
      <c r="F229" s="27" t="str">
        <f t="shared" si="12"/>
        <v>ZargenVIONARO H185500Golden brown</v>
      </c>
      <c r="G229" s="28" t="s">
        <v>574</v>
      </c>
      <c r="H229" s="28" t="str">
        <f>LEFT(G229,10)</f>
        <v>F135120933</v>
      </c>
      <c r="I229" s="28"/>
      <c r="J229" s="28" t="s">
        <v>269</v>
      </c>
      <c r="K229" s="28" t="s">
        <v>563</v>
      </c>
    </row>
    <row r="230" spans="1:11" s="33" customFormat="1" x14ac:dyDescent="0.2">
      <c r="A230" s="28" t="s">
        <v>416</v>
      </c>
      <c r="B230" s="28"/>
      <c r="C230" s="32" t="s">
        <v>3</v>
      </c>
      <c r="D230" s="33">
        <v>550</v>
      </c>
      <c r="E230" s="27" t="s">
        <v>71</v>
      </c>
      <c r="F230" s="27" t="str">
        <f t="shared" si="12"/>
        <v>ZargenVIONARO H185550Golden brown</v>
      </c>
      <c r="G230" s="28" t="e">
        <f>HLOOKUP(VIONARO!I4,Übersetzung,39,FALSE)</f>
        <v>#N/A</v>
      </c>
      <c r="H230" s="28" t="s">
        <v>63</v>
      </c>
      <c r="I230" s="28"/>
      <c r="J230" s="28" t="e">
        <f>HLOOKUP(VIONARO!I4,Übersetzung,39,FALSE)</f>
        <v>#N/A</v>
      </c>
      <c r="K230" s="28" t="e">
        <f>HLOOKUP(VIONARO!I4,Übersetzung,39,FALSE)</f>
        <v>#N/A</v>
      </c>
    </row>
    <row r="231" spans="1:11" s="33" customFormat="1" x14ac:dyDescent="0.2">
      <c r="A231" s="28" t="s">
        <v>416</v>
      </c>
      <c r="B231" s="28"/>
      <c r="C231" s="32" t="s">
        <v>3</v>
      </c>
      <c r="D231" s="33">
        <v>600</v>
      </c>
      <c r="E231" s="27" t="s">
        <v>71</v>
      </c>
      <c r="F231" s="27" t="str">
        <f t="shared" si="12"/>
        <v>ZargenVIONARO H185600Golden brown</v>
      </c>
      <c r="G231" s="28" t="e">
        <f>HLOOKUP(VIONARO!I4,Übersetzung,39,FALSE)</f>
        <v>#N/A</v>
      </c>
      <c r="H231" s="28" t="s">
        <v>63</v>
      </c>
      <c r="I231" s="28"/>
      <c r="J231" s="28" t="e">
        <f>HLOOKUP(VIONARO!I4,Übersetzung,39,FALSE)</f>
        <v>#N/A</v>
      </c>
      <c r="K231" s="28" t="e">
        <f>HLOOKUP(VIONARO!I4,Übersetzung,39,FALSE)</f>
        <v>#N/A</v>
      </c>
    </row>
    <row r="232" spans="1:11" s="33" customFormat="1" x14ac:dyDescent="0.2">
      <c r="A232" s="28" t="s">
        <v>416</v>
      </c>
      <c r="B232" s="28"/>
      <c r="C232" s="32" t="s">
        <v>3</v>
      </c>
      <c r="D232" s="33">
        <v>650</v>
      </c>
      <c r="E232" s="27" t="s">
        <v>71</v>
      </c>
      <c r="F232" s="27" t="str">
        <f t="shared" si="12"/>
        <v>ZargenVIONARO H185650Golden brown</v>
      </c>
      <c r="G232" s="28" t="e">
        <f>HLOOKUP(VIONARO!I4,Übersetzung,39,FALSE)</f>
        <v>#N/A</v>
      </c>
      <c r="H232" s="28" t="s">
        <v>63</v>
      </c>
      <c r="I232" s="28"/>
      <c r="J232" s="28" t="e">
        <f>HLOOKUP(VIONARO!I4,Übersetzung,39,FALSE)</f>
        <v>#N/A</v>
      </c>
      <c r="K232" s="28" t="e">
        <f>HLOOKUP(VIONARO!I4,Übersetzung,39,FALSE)</f>
        <v>#N/A</v>
      </c>
    </row>
    <row r="233" spans="1:11" s="33" customFormat="1" x14ac:dyDescent="0.2">
      <c r="A233" s="28" t="s">
        <v>416</v>
      </c>
      <c r="B233" s="28"/>
      <c r="C233" s="32" t="s">
        <v>66</v>
      </c>
      <c r="D233" s="33">
        <v>450</v>
      </c>
      <c r="E233" s="27" t="s">
        <v>71</v>
      </c>
      <c r="F233" s="27" t="str">
        <f t="shared" si="12"/>
        <v>ZargenVIONARO H249450Golden brown</v>
      </c>
      <c r="G233" s="28" t="e">
        <f>HLOOKUP(VIONARO!I4,Übersetzung,39,FALSE)</f>
        <v>#N/A</v>
      </c>
      <c r="H233" s="28" t="s">
        <v>63</v>
      </c>
      <c r="I233" s="28"/>
      <c r="J233" s="28" t="e">
        <f>HLOOKUP(VIONARO!I4,Übersetzung,39,FALSE)</f>
        <v>#N/A</v>
      </c>
      <c r="K233" s="28" t="e">
        <f>HLOOKUP(VIONARO!I4,Übersetzung,39,FALSE)</f>
        <v>#N/A</v>
      </c>
    </row>
    <row r="234" spans="1:11" s="33" customFormat="1" x14ac:dyDescent="0.2">
      <c r="A234" s="28" t="s">
        <v>416</v>
      </c>
      <c r="B234" s="28"/>
      <c r="C234" s="32" t="s">
        <v>66</v>
      </c>
      <c r="D234" s="33">
        <v>500</v>
      </c>
      <c r="E234" s="27" t="s">
        <v>71</v>
      </c>
      <c r="F234" s="27" t="str">
        <f t="shared" si="12"/>
        <v>ZargenVIONARO H249500Golden brown</v>
      </c>
      <c r="G234" s="28" t="e">
        <f>HLOOKUP(VIONARO!I4,Übersetzung,39,FALSE)</f>
        <v>#N/A</v>
      </c>
      <c r="H234" s="28" t="s">
        <v>63</v>
      </c>
      <c r="I234" s="28"/>
      <c r="J234" s="28" t="e">
        <f>HLOOKUP(VIONARO!I4,Übersetzung,39,FALSE)</f>
        <v>#N/A</v>
      </c>
      <c r="K234" s="28" t="e">
        <f>HLOOKUP(VIONARO!I4,Übersetzung,39,FALSE)</f>
        <v>#N/A</v>
      </c>
    </row>
    <row r="235" spans="1:11" s="33" customFormat="1" x14ac:dyDescent="0.2">
      <c r="A235" s="28" t="s">
        <v>416</v>
      </c>
      <c r="B235" s="28"/>
      <c r="C235" s="32" t="s">
        <v>66</v>
      </c>
      <c r="D235" s="33">
        <v>550</v>
      </c>
      <c r="E235" s="27" t="s">
        <v>71</v>
      </c>
      <c r="F235" s="27" t="str">
        <f t="shared" si="12"/>
        <v>ZargenVIONARO H249550Golden brown</v>
      </c>
      <c r="G235" s="28" t="e">
        <f>HLOOKUP(VIONARO!I4,Übersetzung,39,FALSE)</f>
        <v>#N/A</v>
      </c>
      <c r="H235" s="28" t="s">
        <v>63</v>
      </c>
      <c r="I235" s="28"/>
      <c r="J235" s="28" t="e">
        <f>HLOOKUP(VIONARO!I4,Übersetzung,39,FALSE)</f>
        <v>#N/A</v>
      </c>
      <c r="K235" s="28" t="e">
        <f>HLOOKUP(VIONARO!I4,Übersetzung,39,FALSE)</f>
        <v>#N/A</v>
      </c>
    </row>
    <row r="236" spans="1:11" s="33" customFormat="1" x14ac:dyDescent="0.2">
      <c r="A236" s="28" t="s">
        <v>416</v>
      </c>
      <c r="B236" s="28"/>
      <c r="C236" s="32" t="s">
        <v>66</v>
      </c>
      <c r="D236" s="33">
        <v>600</v>
      </c>
      <c r="E236" s="27" t="s">
        <v>71</v>
      </c>
      <c r="F236" s="27" t="str">
        <f t="shared" si="12"/>
        <v>ZargenVIONARO H249600Golden brown</v>
      </c>
      <c r="G236" s="28" t="e">
        <f>HLOOKUP(VIONARO!I4,Übersetzung,39,FALSE)</f>
        <v>#N/A</v>
      </c>
      <c r="H236" s="28" t="s">
        <v>63</v>
      </c>
      <c r="I236" s="28"/>
      <c r="J236" s="28" t="e">
        <f>HLOOKUP(VIONARO!I4,Übersetzung,39,FALSE)</f>
        <v>#N/A</v>
      </c>
      <c r="K236" s="28" t="e">
        <f>HLOOKUP(VIONARO!I4,Übersetzung,39,FALSE)</f>
        <v>#N/A</v>
      </c>
    </row>
    <row r="237" spans="1:11" s="33" customFormat="1" x14ac:dyDescent="0.2">
      <c r="A237" s="28" t="s">
        <v>417</v>
      </c>
      <c r="B237" s="28"/>
      <c r="C237" s="32" t="s">
        <v>1</v>
      </c>
      <c r="E237" s="27" t="s">
        <v>71</v>
      </c>
      <c r="F237" s="27" t="str">
        <f t="shared" si="12"/>
        <v>InnenblendeVIONARO H89Golden brown</v>
      </c>
      <c r="G237" s="28" t="s">
        <v>578</v>
      </c>
      <c r="H237" s="28" t="str">
        <f>LEFT(G237,10)</f>
        <v>F136122519</v>
      </c>
      <c r="I237" s="28"/>
      <c r="J237" s="28" t="s">
        <v>325</v>
      </c>
      <c r="K237" s="28" t="s">
        <v>564</v>
      </c>
    </row>
    <row r="238" spans="1:11" s="33" customFormat="1" x14ac:dyDescent="0.2">
      <c r="A238" s="28" t="s">
        <v>417</v>
      </c>
      <c r="B238" s="28"/>
      <c r="C238" s="32" t="s">
        <v>3</v>
      </c>
      <c r="E238" s="27" t="s">
        <v>71</v>
      </c>
      <c r="F238" s="27" t="str">
        <f t="shared" si="12"/>
        <v>InnenblendeVIONARO H185Golden brown</v>
      </c>
      <c r="G238" s="28" t="s">
        <v>579</v>
      </c>
      <c r="H238" s="28" t="str">
        <f>LEFT(G238,10)</f>
        <v>F136122569</v>
      </c>
      <c r="I238" s="28"/>
      <c r="J238" s="28" t="s">
        <v>338</v>
      </c>
      <c r="K238" s="28" t="s">
        <v>564</v>
      </c>
    </row>
    <row r="239" spans="1:11" s="33" customFormat="1" x14ac:dyDescent="0.2">
      <c r="A239" s="28" t="s">
        <v>418</v>
      </c>
      <c r="B239" s="28" t="s">
        <v>421</v>
      </c>
      <c r="C239" s="32" t="s">
        <v>0</v>
      </c>
      <c r="E239" s="27" t="s">
        <v>71</v>
      </c>
      <c r="F239" s="27" t="str">
        <f t="shared" si="12"/>
        <v>BefestigungAnschraubenVIONARO H63Golden brown</v>
      </c>
      <c r="G239" s="28" t="e">
        <f>HLOOKUP(VIONARO!I4,Übersetzung,39,FALSE)</f>
        <v>#N/A</v>
      </c>
      <c r="H239" s="28" t="s">
        <v>63</v>
      </c>
      <c r="I239" s="28"/>
      <c r="J239" s="28" t="e">
        <f>HLOOKUP(VIONARO!I4,Übersetzung,39,FALSE)</f>
        <v>#N/A</v>
      </c>
      <c r="K239" s="28" t="e">
        <f>HLOOKUP(VIONARO!I4,Übersetzung,39,FALSE)</f>
        <v>#N/A</v>
      </c>
    </row>
    <row r="240" spans="1:11" s="33" customFormat="1" x14ac:dyDescent="0.2">
      <c r="A240" s="28" t="s">
        <v>418</v>
      </c>
      <c r="B240" s="28" t="s">
        <v>421</v>
      </c>
      <c r="C240" s="32" t="s">
        <v>1</v>
      </c>
      <c r="E240" s="27" t="s">
        <v>71</v>
      </c>
      <c r="F240" s="27" t="str">
        <f t="shared" si="12"/>
        <v>BefestigungAnschraubenVIONARO H89Golden brown</v>
      </c>
      <c r="G240" s="28" t="s">
        <v>568</v>
      </c>
      <c r="H240" s="28" t="str">
        <f>LEFT(G240,10)</f>
        <v>F136107237</v>
      </c>
      <c r="I240" s="28"/>
      <c r="J240" s="28" t="s">
        <v>359</v>
      </c>
      <c r="K240" s="28" t="s">
        <v>565</v>
      </c>
    </row>
    <row r="241" spans="1:11" s="33" customFormat="1" x14ac:dyDescent="0.2">
      <c r="A241" s="28" t="s">
        <v>418</v>
      </c>
      <c r="B241" s="28" t="s">
        <v>423</v>
      </c>
      <c r="C241" s="32" t="s">
        <v>1</v>
      </c>
      <c r="E241" s="27" t="s">
        <v>71</v>
      </c>
      <c r="F241" s="27" t="str">
        <f t="shared" si="12"/>
        <v>BefestigungSpreizdübel Ø 8 mmVIONARO H89Golden brown</v>
      </c>
      <c r="G241" s="28" t="e">
        <f>HLOOKUP(VIONARO!I4,Übersetzung,39,FALSE)</f>
        <v>#N/A</v>
      </c>
      <c r="H241" s="28" t="s">
        <v>63</v>
      </c>
      <c r="I241" s="28"/>
      <c r="J241" s="28" t="e">
        <f>HLOOKUP(VIONARO!I4,Übersetzung,39,FALSE)</f>
        <v>#N/A</v>
      </c>
      <c r="K241" s="28" t="e">
        <f>HLOOKUP(VIONARO!I4,Übersetzung,39,FALSE)</f>
        <v>#N/A</v>
      </c>
    </row>
    <row r="242" spans="1:11" s="33" customFormat="1" x14ac:dyDescent="0.2">
      <c r="A242" s="28" t="s">
        <v>418</v>
      </c>
      <c r="B242" s="28" t="s">
        <v>421</v>
      </c>
      <c r="C242" s="32" t="s">
        <v>2</v>
      </c>
      <c r="E242" s="27" t="s">
        <v>71</v>
      </c>
      <c r="F242" s="27" t="str">
        <f t="shared" si="12"/>
        <v>BefestigungAnschraubenVIONARO H121Golden brown</v>
      </c>
      <c r="G242" s="28" t="e">
        <f>HLOOKUP(VIONARO!I4,Übersetzung,39,FALSE)</f>
        <v>#N/A</v>
      </c>
      <c r="H242" s="28" t="s">
        <v>63</v>
      </c>
      <c r="I242" s="28"/>
      <c r="J242" s="28" t="e">
        <f>HLOOKUP(VIONARO!I4,Übersetzung,39,FALSE)</f>
        <v>#N/A</v>
      </c>
      <c r="K242" s="28" t="e">
        <f>HLOOKUP(VIONARO!I4,Übersetzung,39,FALSE)</f>
        <v>#N/A</v>
      </c>
    </row>
    <row r="243" spans="1:11" s="33" customFormat="1" x14ac:dyDescent="0.2">
      <c r="A243" s="28" t="s">
        <v>418</v>
      </c>
      <c r="B243" s="28" t="s">
        <v>423</v>
      </c>
      <c r="C243" s="32" t="s">
        <v>2</v>
      </c>
      <c r="E243" s="27" t="s">
        <v>71</v>
      </c>
      <c r="F243" s="27" t="str">
        <f t="shared" si="12"/>
        <v>BefestigungSpreizdübel Ø 8 mmVIONARO H121Golden brown</v>
      </c>
      <c r="G243" s="28" t="e">
        <f>HLOOKUP(VIONARO!I4,Übersetzung,39,FALSE)</f>
        <v>#N/A</v>
      </c>
      <c r="H243" s="28" t="s">
        <v>63</v>
      </c>
      <c r="I243" s="28"/>
      <c r="J243" s="28" t="e">
        <f>HLOOKUP(VIONARO!I4,Übersetzung,39,FALSE)</f>
        <v>#N/A</v>
      </c>
      <c r="K243" s="28" t="e">
        <f>HLOOKUP(VIONARO!I4,Übersetzung,39,FALSE)</f>
        <v>#N/A</v>
      </c>
    </row>
    <row r="244" spans="1:11" s="33" customFormat="1" x14ac:dyDescent="0.2">
      <c r="A244" s="28" t="s">
        <v>418</v>
      </c>
      <c r="B244" s="28" t="s">
        <v>421</v>
      </c>
      <c r="C244" s="32" t="s">
        <v>3</v>
      </c>
      <c r="E244" s="27" t="s">
        <v>71</v>
      </c>
      <c r="F244" s="27" t="str">
        <f t="shared" si="12"/>
        <v>BefestigungAnschraubenVIONARO H185Golden brown</v>
      </c>
      <c r="G244" s="28" t="s">
        <v>575</v>
      </c>
      <c r="H244" s="28" t="str">
        <f>LEFT(G244,10)</f>
        <v>F136107239</v>
      </c>
      <c r="I244" s="28"/>
      <c r="J244" s="28" t="s">
        <v>378</v>
      </c>
      <c r="K244" s="28" t="s">
        <v>565</v>
      </c>
    </row>
    <row r="245" spans="1:11" s="33" customFormat="1" x14ac:dyDescent="0.2">
      <c r="A245" s="28" t="s">
        <v>418</v>
      </c>
      <c r="B245" s="28" t="s">
        <v>423</v>
      </c>
      <c r="C245" s="32" t="s">
        <v>3</v>
      </c>
      <c r="E245" s="27" t="s">
        <v>71</v>
      </c>
      <c r="F245" s="27" t="str">
        <f t="shared" si="12"/>
        <v>BefestigungSpreizdübel Ø 8 mmVIONARO H185Golden brown</v>
      </c>
      <c r="G245" s="28" t="e">
        <f>HLOOKUP(VIONARO!I4,Übersetzung,39,FALSE)</f>
        <v>#N/A</v>
      </c>
      <c r="H245" s="28" t="s">
        <v>63</v>
      </c>
      <c r="I245" s="28"/>
      <c r="J245" s="28" t="e">
        <f>HLOOKUP(VIONARO!I4,Übersetzung,39,FALSE)</f>
        <v>#N/A</v>
      </c>
      <c r="K245" s="28" t="e">
        <f>HLOOKUP(VIONARO!I4,Übersetzung,39,FALSE)</f>
        <v>#N/A</v>
      </c>
    </row>
    <row r="246" spans="1:11" s="33" customFormat="1" x14ac:dyDescent="0.2">
      <c r="A246" s="28" t="s">
        <v>418</v>
      </c>
      <c r="B246" s="28" t="s">
        <v>421</v>
      </c>
      <c r="C246" s="32" t="s">
        <v>66</v>
      </c>
      <c r="E246" s="27" t="s">
        <v>71</v>
      </c>
      <c r="F246" s="27" t="str">
        <f t="shared" si="12"/>
        <v>BefestigungAnschraubenVIONARO H249Golden brown</v>
      </c>
      <c r="G246" s="28" t="e">
        <f>HLOOKUP(VIONARO!I4,Übersetzung,39,FALSE)</f>
        <v>#N/A</v>
      </c>
      <c r="H246" s="28" t="s">
        <v>63</v>
      </c>
      <c r="I246" s="28"/>
      <c r="J246" s="28" t="e">
        <f>HLOOKUP(VIONARO!I4,Übersetzung,39,FALSE)</f>
        <v>#N/A</v>
      </c>
      <c r="K246" s="28" t="e">
        <f>HLOOKUP(VIONARO!I4,Übersetzung,39,FALSE)</f>
        <v>#N/A</v>
      </c>
    </row>
    <row r="247" spans="1:11" s="33" customFormat="1" x14ac:dyDescent="0.2">
      <c r="A247" s="28" t="s">
        <v>418</v>
      </c>
      <c r="B247" s="28" t="s">
        <v>423</v>
      </c>
      <c r="C247" s="32" t="s">
        <v>66</v>
      </c>
      <c r="E247" s="27" t="s">
        <v>71</v>
      </c>
      <c r="F247" s="27" t="str">
        <f t="shared" si="12"/>
        <v>BefestigungSpreizdübel Ø 8 mmVIONARO H249Golden brown</v>
      </c>
      <c r="G247" s="28" t="e">
        <f>HLOOKUP(VIONARO!I4,Übersetzung,39,FALSE)</f>
        <v>#N/A</v>
      </c>
      <c r="H247" s="28" t="s">
        <v>63</v>
      </c>
      <c r="I247" s="28"/>
      <c r="J247" s="28" t="e">
        <f>HLOOKUP(VIONARO!I4,Übersetzung,39,FALSE)</f>
        <v>#N/A</v>
      </c>
      <c r="K247" s="28" t="e">
        <f>HLOOKUP(VIONARO!I4,Übersetzung,39,FALSE)</f>
        <v>#N/A</v>
      </c>
    </row>
    <row r="248" spans="1:11" s="33" customFormat="1" x14ac:dyDescent="0.2">
      <c r="A248" s="28" t="s">
        <v>418</v>
      </c>
      <c r="B248" s="28" t="s">
        <v>417</v>
      </c>
      <c r="C248" s="32" t="s">
        <v>1</v>
      </c>
      <c r="E248" s="27" t="s">
        <v>71</v>
      </c>
      <c r="F248" s="27" t="str">
        <f t="shared" si="12"/>
        <v>BefestigungInnenblendeVIONARO H89Golden brown</v>
      </c>
      <c r="G248" s="28" t="s">
        <v>576</v>
      </c>
      <c r="H248" s="28" t="str">
        <f>LEFT(G248,10)</f>
        <v>F136107241</v>
      </c>
      <c r="I248" s="28"/>
      <c r="J248" s="28" t="s">
        <v>391</v>
      </c>
      <c r="K248" s="28" t="s">
        <v>566</v>
      </c>
    </row>
    <row r="249" spans="1:11" s="33" customFormat="1" x14ac:dyDescent="0.2">
      <c r="A249" s="28" t="s">
        <v>418</v>
      </c>
      <c r="B249" s="28" t="s">
        <v>417</v>
      </c>
      <c r="C249" s="32" t="s">
        <v>3</v>
      </c>
      <c r="E249" s="27" t="s">
        <v>71</v>
      </c>
      <c r="F249" s="27" t="str">
        <f t="shared" si="12"/>
        <v>BefestigungInnenblendeVIONARO H185Golden brown</v>
      </c>
      <c r="G249" s="28" t="s">
        <v>577</v>
      </c>
      <c r="H249" s="28" t="str">
        <f>LEFT(G249,10)</f>
        <v>F136107243</v>
      </c>
      <c r="I249" s="28"/>
      <c r="J249" s="28" t="s">
        <v>391</v>
      </c>
      <c r="K249" s="28" t="s">
        <v>567</v>
      </c>
    </row>
    <row r="250" spans="1:11" s="33" customFormat="1" x14ac:dyDescent="0.2">
      <c r="A250" s="28" t="s">
        <v>418</v>
      </c>
      <c r="B250" s="28" t="s">
        <v>423</v>
      </c>
      <c r="C250" s="32" t="s">
        <v>0</v>
      </c>
      <c r="E250" s="27" t="s">
        <v>71</v>
      </c>
      <c r="F250" s="27" t="str">
        <f t="shared" si="12"/>
        <v>BefestigungSpreizdübel Ø 8 mmVIONARO H63Golden brown</v>
      </c>
      <c r="G250" s="28" t="e">
        <f>HLOOKUP(VIONARO!I4,Übersetzung,39,FALSE)</f>
        <v>#N/A</v>
      </c>
      <c r="H250" s="28" t="s">
        <v>63</v>
      </c>
      <c r="I250" s="28"/>
      <c r="J250" s="28" t="e">
        <f>HLOOKUP(VIONARO!I4,Übersetzung,39,FALSE)</f>
        <v>#N/A</v>
      </c>
      <c r="K250" s="28" t="e">
        <f>HLOOKUP(VIONARO!I4,Übersetzung,39,FALSE)</f>
        <v>#N/A</v>
      </c>
    </row>
    <row r="251" spans="1:11" s="33" customFormat="1" x14ac:dyDescent="0.2">
      <c r="A251" s="28" t="s">
        <v>418</v>
      </c>
      <c r="B251" s="28" t="s">
        <v>417</v>
      </c>
      <c r="C251" s="32" t="s">
        <v>2</v>
      </c>
      <c r="E251" s="27" t="s">
        <v>68</v>
      </c>
      <c r="F251" s="27" t="str">
        <f t="shared" si="12"/>
        <v>BefestigungInnenblendeVIONARO H121Silver grey</v>
      </c>
      <c r="G251" s="30" t="s">
        <v>989</v>
      </c>
      <c r="H251" s="28" t="str">
        <f t="shared" ref="H251:H253" si="13">LEFT(G251,10)</f>
        <v>F136107488</v>
      </c>
      <c r="I251" s="28" t="s">
        <v>981</v>
      </c>
      <c r="J251" s="28" t="s">
        <v>391</v>
      </c>
      <c r="K251" s="28" t="s">
        <v>984</v>
      </c>
    </row>
    <row r="252" spans="1:11" s="33" customFormat="1" x14ac:dyDescent="0.2">
      <c r="A252" s="28" t="s">
        <v>418</v>
      </c>
      <c r="B252" s="28" t="s">
        <v>417</v>
      </c>
      <c r="C252" s="32" t="s">
        <v>2</v>
      </c>
      <c r="E252" s="27" t="s">
        <v>69</v>
      </c>
      <c r="F252" s="27" t="str">
        <f t="shared" ref="F252:F260" si="14">CONCATENATE(A252,B252,C252,D252,E252)</f>
        <v>BefestigungInnenblendeVIONARO H121Graphit</v>
      </c>
      <c r="G252" s="30" t="s">
        <v>990</v>
      </c>
      <c r="H252" s="28" t="str">
        <f t="shared" si="13"/>
        <v>F136107489</v>
      </c>
      <c r="I252" s="28" t="s">
        <v>982</v>
      </c>
      <c r="J252" s="28" t="s">
        <v>391</v>
      </c>
      <c r="K252" s="28" t="s">
        <v>985</v>
      </c>
    </row>
    <row r="253" spans="1:11" s="33" customFormat="1" x14ac:dyDescent="0.2">
      <c r="A253" s="28" t="s">
        <v>418</v>
      </c>
      <c r="B253" s="28" t="s">
        <v>417</v>
      </c>
      <c r="C253" s="32" t="s">
        <v>2</v>
      </c>
      <c r="E253" s="27" t="s">
        <v>70</v>
      </c>
      <c r="F253" s="27" t="str">
        <f t="shared" si="14"/>
        <v>BefestigungInnenblendeVIONARO H121Snow white</v>
      </c>
      <c r="G253" s="30" t="s">
        <v>991</v>
      </c>
      <c r="H253" s="28" t="str">
        <f t="shared" si="13"/>
        <v>F136107490</v>
      </c>
      <c r="I253" s="28" t="s">
        <v>983</v>
      </c>
      <c r="J253" s="28" t="s">
        <v>391</v>
      </c>
      <c r="K253" s="28" t="s">
        <v>986</v>
      </c>
    </row>
    <row r="254" spans="1:11" s="33" customFormat="1" x14ac:dyDescent="0.2">
      <c r="A254" s="28" t="s">
        <v>418</v>
      </c>
      <c r="B254" s="28" t="s">
        <v>417</v>
      </c>
      <c r="C254" s="32" t="s">
        <v>2</v>
      </c>
      <c r="E254" s="27" t="s">
        <v>67</v>
      </c>
      <c r="F254" s="27" t="str">
        <f t="shared" si="14"/>
        <v>BefestigungInnenblendeVIONARO H121Aluminium Natur</v>
      </c>
      <c r="G254" s="30" t="s">
        <v>989</v>
      </c>
      <c r="H254" s="28" t="str">
        <f t="shared" ref="H254:H255" si="15">LEFT(G254,10)</f>
        <v>F136107488</v>
      </c>
      <c r="I254" s="28" t="s">
        <v>981</v>
      </c>
      <c r="J254" s="28" t="s">
        <v>391</v>
      </c>
      <c r="K254" s="28" t="s">
        <v>984</v>
      </c>
    </row>
    <row r="255" spans="1:11" s="33" customFormat="1" x14ac:dyDescent="0.2">
      <c r="A255" s="28" t="s">
        <v>418</v>
      </c>
      <c r="B255" s="28" t="s">
        <v>417</v>
      </c>
      <c r="C255" s="32" t="s">
        <v>2</v>
      </c>
      <c r="E255" s="27" t="s">
        <v>71</v>
      </c>
      <c r="F255" s="27" t="str">
        <f t="shared" si="14"/>
        <v>BefestigungInnenblendeVIONARO H121Golden brown</v>
      </c>
      <c r="G255" s="28" t="s">
        <v>992</v>
      </c>
      <c r="H255" s="28" t="str">
        <f t="shared" si="15"/>
        <v>F136107491</v>
      </c>
      <c r="I255" s="28" t="s">
        <v>981</v>
      </c>
      <c r="J255" s="28" t="s">
        <v>391</v>
      </c>
      <c r="K255" s="28" t="s">
        <v>993</v>
      </c>
    </row>
    <row r="256" spans="1:11" s="33" customFormat="1" x14ac:dyDescent="0.2">
      <c r="A256" s="28" t="s">
        <v>417</v>
      </c>
      <c r="B256" s="28"/>
      <c r="C256" s="32" t="s">
        <v>2</v>
      </c>
      <c r="E256" s="27" t="s">
        <v>67</v>
      </c>
      <c r="F256" s="27" t="str">
        <f t="shared" si="14"/>
        <v>InnenblendeVIONARO H121Aluminium Natur</v>
      </c>
      <c r="G256" s="30" t="s">
        <v>994</v>
      </c>
      <c r="H256" s="28" t="str">
        <f t="shared" ref="H256:H260" si="16">LEFT(G256,10)</f>
        <v>F136107483</v>
      </c>
      <c r="I256" s="28" t="s">
        <v>324</v>
      </c>
      <c r="J256" s="28" t="s">
        <v>987</v>
      </c>
      <c r="K256" s="28" t="s">
        <v>327</v>
      </c>
    </row>
    <row r="257" spans="1:11" s="33" customFormat="1" x14ac:dyDescent="0.2">
      <c r="A257" s="28" t="s">
        <v>417</v>
      </c>
      <c r="B257" s="28"/>
      <c r="C257" s="32" t="s">
        <v>2</v>
      </c>
      <c r="E257" s="27" t="s">
        <v>68</v>
      </c>
      <c r="F257" s="27" t="str">
        <f t="shared" si="14"/>
        <v>InnenblendeVIONARO H121Silver grey</v>
      </c>
      <c r="G257" s="30" t="s">
        <v>995</v>
      </c>
      <c r="H257" s="28" t="str">
        <f t="shared" si="16"/>
        <v>F136107484</v>
      </c>
      <c r="I257" s="28" t="s">
        <v>328</v>
      </c>
      <c r="J257" s="28" t="s">
        <v>987</v>
      </c>
      <c r="K257" s="28" t="s">
        <v>330</v>
      </c>
    </row>
    <row r="258" spans="1:11" s="33" customFormat="1" x14ac:dyDescent="0.2">
      <c r="A258" s="28" t="s">
        <v>417</v>
      </c>
      <c r="B258" s="28"/>
      <c r="C258" s="32" t="s">
        <v>2</v>
      </c>
      <c r="E258" s="27" t="s">
        <v>69</v>
      </c>
      <c r="F258" s="27" t="str">
        <f t="shared" si="14"/>
        <v>InnenblendeVIONARO H121Graphit</v>
      </c>
      <c r="G258" s="30" t="s">
        <v>996</v>
      </c>
      <c r="H258" s="28" t="str">
        <f t="shared" si="16"/>
        <v>F136107485</v>
      </c>
      <c r="I258" s="28" t="s">
        <v>331</v>
      </c>
      <c r="J258" s="28" t="s">
        <v>987</v>
      </c>
      <c r="K258" s="28" t="s">
        <v>333</v>
      </c>
    </row>
    <row r="259" spans="1:11" x14ac:dyDescent="0.2">
      <c r="A259" s="28" t="s">
        <v>417</v>
      </c>
      <c r="C259" s="32" t="s">
        <v>2</v>
      </c>
      <c r="E259" s="27" t="s">
        <v>70</v>
      </c>
      <c r="F259" s="27" t="str">
        <f t="shared" si="14"/>
        <v>InnenblendeVIONARO H121Snow white</v>
      </c>
      <c r="G259" s="28" t="s">
        <v>997</v>
      </c>
      <c r="H259" s="28" t="str">
        <f t="shared" si="16"/>
        <v>F136107486</v>
      </c>
      <c r="I259" s="28" t="s">
        <v>331</v>
      </c>
      <c r="J259" s="28" t="s">
        <v>987</v>
      </c>
      <c r="K259" s="28" t="s">
        <v>998</v>
      </c>
    </row>
    <row r="260" spans="1:11" x14ac:dyDescent="0.2">
      <c r="A260" s="28" t="s">
        <v>417</v>
      </c>
      <c r="C260" s="32" t="s">
        <v>2</v>
      </c>
      <c r="E260" s="27" t="s">
        <v>71</v>
      </c>
      <c r="F260" s="27" t="str">
        <f t="shared" si="14"/>
        <v>InnenblendeVIONARO H121Golden brown</v>
      </c>
      <c r="G260" s="28" t="s">
        <v>999</v>
      </c>
      <c r="H260" s="28" t="str">
        <f t="shared" si="16"/>
        <v>F136107487</v>
      </c>
      <c r="I260" s="28" t="s">
        <v>331</v>
      </c>
      <c r="J260" s="28" t="s">
        <v>987</v>
      </c>
      <c r="K260" s="28" t="s">
        <v>1000</v>
      </c>
    </row>
  </sheetData>
  <autoFilter ref="A1:K255"/>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B7:W27"/>
  <sheetViews>
    <sheetView topLeftCell="P10" zoomScale="250" zoomScaleNormal="250" workbookViewId="0">
      <selection activeCell="X16" sqref="X16"/>
    </sheetView>
  </sheetViews>
  <sheetFormatPr defaultColWidth="11.42578125" defaultRowHeight="15" x14ac:dyDescent="0.25"/>
  <sheetData>
    <row r="7" spans="2:23" x14ac:dyDescent="0.25">
      <c r="B7" s="51"/>
      <c r="C7" s="51"/>
      <c r="D7" s="51"/>
      <c r="E7" s="51"/>
      <c r="F7" s="51"/>
      <c r="G7" s="51"/>
      <c r="H7" s="51"/>
    </row>
    <row r="8" spans="2:23" x14ac:dyDescent="0.25">
      <c r="B8" s="51"/>
      <c r="C8" s="51"/>
      <c r="D8" s="51"/>
      <c r="E8" s="51"/>
      <c r="F8" s="51"/>
      <c r="G8" s="51"/>
      <c r="H8" s="51"/>
    </row>
    <row r="9" spans="2:23" x14ac:dyDescent="0.25">
      <c r="B9" s="51"/>
      <c r="C9" s="51"/>
      <c r="D9" s="51"/>
      <c r="E9" s="51"/>
      <c r="F9" s="51"/>
      <c r="G9" s="51"/>
      <c r="H9" s="51"/>
    </row>
    <row r="10" spans="2:23" x14ac:dyDescent="0.25">
      <c r="B10" s="51"/>
      <c r="C10" s="51"/>
      <c r="D10" s="51"/>
      <c r="E10" s="51"/>
      <c r="F10" s="51"/>
      <c r="G10" s="51"/>
      <c r="H10" s="51"/>
    </row>
    <row r="11" spans="2:23" x14ac:dyDescent="0.25">
      <c r="B11" s="51"/>
      <c r="C11" s="51"/>
      <c r="D11" s="51"/>
      <c r="E11" s="51"/>
      <c r="F11" s="51"/>
      <c r="G11" s="51"/>
      <c r="H11" s="51"/>
    </row>
    <row r="12" spans="2:23" x14ac:dyDescent="0.25">
      <c r="B12" s="51"/>
      <c r="C12" s="42"/>
      <c r="D12" s="42"/>
      <c r="E12" s="42"/>
      <c r="F12" s="42"/>
      <c r="G12" s="42"/>
      <c r="H12" s="51"/>
      <c r="I12" s="42"/>
      <c r="J12" s="42"/>
      <c r="K12" s="42"/>
      <c r="L12" s="42"/>
      <c r="M12" s="42"/>
      <c r="N12" s="42"/>
      <c r="O12" s="42"/>
      <c r="P12" s="42"/>
      <c r="Q12" s="42"/>
      <c r="R12" s="42"/>
      <c r="S12" s="42"/>
      <c r="T12" s="42"/>
      <c r="U12" s="42"/>
      <c r="V12" s="42"/>
      <c r="W12" s="42"/>
    </row>
    <row r="13" spans="2:23" x14ac:dyDescent="0.25">
      <c r="B13" s="51"/>
      <c r="C13" s="42"/>
      <c r="D13" s="42"/>
      <c r="E13" s="42"/>
      <c r="F13" s="42"/>
      <c r="G13" s="42"/>
      <c r="H13" s="51"/>
      <c r="I13" s="42"/>
      <c r="J13" s="42"/>
      <c r="K13" s="42"/>
      <c r="L13" s="42"/>
      <c r="M13" s="42"/>
      <c r="N13" s="42"/>
      <c r="O13" s="42"/>
      <c r="P13" s="42"/>
      <c r="Q13" s="42"/>
      <c r="R13" s="42"/>
      <c r="S13" s="42"/>
      <c r="T13" s="42"/>
      <c r="U13" s="42"/>
      <c r="V13" s="42"/>
      <c r="W13" s="42"/>
    </row>
    <row r="14" spans="2:23" x14ac:dyDescent="0.25">
      <c r="B14" s="51"/>
      <c r="C14" s="43"/>
      <c r="D14" s="42"/>
      <c r="E14" s="42"/>
      <c r="F14" s="42"/>
      <c r="G14" s="296"/>
      <c r="H14" s="51"/>
      <c r="I14" s="43"/>
      <c r="J14" s="42"/>
      <c r="K14" s="42"/>
      <c r="L14" s="42"/>
      <c r="M14" s="296"/>
      <c r="N14" s="43"/>
      <c r="O14" s="42"/>
      <c r="P14" s="42"/>
      <c r="Q14" s="42"/>
      <c r="R14" s="296"/>
      <c r="S14" s="43"/>
      <c r="T14" s="42"/>
      <c r="U14" s="42"/>
      <c r="V14" s="42"/>
      <c r="W14" s="296"/>
    </row>
    <row r="15" spans="2:23" x14ac:dyDescent="0.25">
      <c r="B15" s="51"/>
      <c r="C15" s="42"/>
      <c r="D15" s="52"/>
      <c r="E15" s="45"/>
      <c r="F15" s="297" t="str">
        <f>IF(VIONARO!N25="","",VIONARO!N25)</f>
        <v/>
      </c>
      <c r="G15" s="296"/>
      <c r="H15" s="51"/>
      <c r="I15" s="42"/>
      <c r="J15" s="52"/>
      <c r="K15" s="45"/>
      <c r="L15" s="297" t="str">
        <f>IF(VIONARO!T25="","",VIONARO!T25)</f>
        <v/>
      </c>
      <c r="M15" s="296"/>
      <c r="N15" s="42"/>
      <c r="O15" s="52"/>
      <c r="P15" s="45"/>
      <c r="Q15" s="297" t="str">
        <f>IF(VIONARO!Y25="","",VIONARO!Y25)</f>
        <v/>
      </c>
      <c r="R15" s="296"/>
      <c r="S15" s="42"/>
      <c r="T15" s="52"/>
      <c r="U15" s="45"/>
      <c r="V15" s="297" t="str">
        <f>IF(VIONARO!AD25="","",VIONARO!AD25)</f>
        <v/>
      </c>
      <c r="W15" s="296"/>
    </row>
    <row r="16" spans="2:23" x14ac:dyDescent="0.25">
      <c r="B16" s="51"/>
      <c r="C16" s="44"/>
      <c r="D16" s="52"/>
      <c r="E16" s="45"/>
      <c r="F16" s="297"/>
      <c r="G16" s="296"/>
      <c r="H16" s="51"/>
      <c r="I16" s="44"/>
      <c r="J16" s="52"/>
      <c r="K16" s="45"/>
      <c r="L16" s="297"/>
      <c r="M16" s="296"/>
      <c r="N16" s="44"/>
      <c r="O16" s="52"/>
      <c r="P16" s="45"/>
      <c r="Q16" s="297"/>
      <c r="R16" s="296"/>
      <c r="S16" s="44"/>
      <c r="T16" s="52"/>
      <c r="U16" s="45"/>
      <c r="V16" s="297"/>
      <c r="W16" s="296"/>
    </row>
    <row r="17" spans="2:23" x14ac:dyDescent="0.25">
      <c r="B17" s="51"/>
      <c r="C17" s="42"/>
      <c r="D17" s="52"/>
      <c r="E17" s="45"/>
      <c r="F17" s="297" t="str">
        <f>IF(VIONARO!N27="","",VIONARO!N27)</f>
        <v/>
      </c>
      <c r="G17" s="296"/>
      <c r="H17" s="51"/>
      <c r="I17" s="42"/>
      <c r="J17" s="52"/>
      <c r="K17" s="45"/>
      <c r="L17" s="297" t="str">
        <f>IF(VIONARO!T27="","",VIONARO!T27)</f>
        <v/>
      </c>
      <c r="M17" s="296"/>
      <c r="N17" s="42"/>
      <c r="O17" s="52"/>
      <c r="P17" s="45"/>
      <c r="Q17" s="297" t="str">
        <f>IF(VIONARO!Y27="","",VIONARO!Y27)</f>
        <v/>
      </c>
      <c r="R17" s="296"/>
      <c r="S17" s="42"/>
      <c r="T17" s="52"/>
      <c r="U17" s="45"/>
      <c r="V17" s="297" t="str">
        <f>IF(VIONARO!AD27="","",VIONARO!AD27)</f>
        <v/>
      </c>
      <c r="W17" s="296"/>
    </row>
    <row r="18" spans="2:23" x14ac:dyDescent="0.25">
      <c r="B18" s="51"/>
      <c r="C18" s="44"/>
      <c r="D18" s="52"/>
      <c r="E18" s="45"/>
      <c r="F18" s="297"/>
      <c r="G18" s="296"/>
      <c r="H18" s="51"/>
      <c r="I18" s="44"/>
      <c r="J18" s="52"/>
      <c r="K18" s="45"/>
      <c r="L18" s="297"/>
      <c r="M18" s="296"/>
      <c r="N18" s="44"/>
      <c r="O18" s="52"/>
      <c r="P18" s="45"/>
      <c r="Q18" s="297"/>
      <c r="R18" s="296"/>
      <c r="S18" s="44"/>
      <c r="T18" s="52"/>
      <c r="U18" s="45"/>
      <c r="V18" s="297"/>
      <c r="W18" s="296"/>
    </row>
    <row r="19" spans="2:23" x14ac:dyDescent="0.25">
      <c r="B19" s="51"/>
      <c r="C19" s="42"/>
      <c r="D19" s="52"/>
      <c r="E19" s="45"/>
      <c r="F19" s="297" t="str">
        <f>IF(VIONARO!N29="","",VIONARO!N29)</f>
        <v/>
      </c>
      <c r="G19" s="296"/>
      <c r="H19" s="51"/>
      <c r="I19" s="42"/>
      <c r="J19" s="52"/>
      <c r="K19" s="45"/>
      <c r="L19" s="297" t="str">
        <f>IF(VIONARO!T29="","",VIONARO!T29)</f>
        <v/>
      </c>
      <c r="M19" s="296"/>
      <c r="N19" s="42"/>
      <c r="O19" s="52"/>
      <c r="P19" s="45"/>
      <c r="Q19" s="297" t="str">
        <f>IF(VIONARO!Y29="","",VIONARO!Y29)</f>
        <v/>
      </c>
      <c r="R19" s="296"/>
      <c r="S19" s="42"/>
      <c r="T19" s="52"/>
      <c r="U19" s="45"/>
      <c r="V19" s="297" t="str">
        <f>IF(VIONARO!AD29="","",VIONARO!AD29)</f>
        <v/>
      </c>
      <c r="W19" s="296"/>
    </row>
    <row r="20" spans="2:23" x14ac:dyDescent="0.25">
      <c r="B20" s="51"/>
      <c r="C20" s="44"/>
      <c r="D20" s="52"/>
      <c r="E20" s="45"/>
      <c r="F20" s="297"/>
      <c r="G20" s="296"/>
      <c r="H20" s="51"/>
      <c r="I20" s="44"/>
      <c r="J20" s="52"/>
      <c r="K20" s="45"/>
      <c r="L20" s="297"/>
      <c r="M20" s="296"/>
      <c r="N20" s="44"/>
      <c r="O20" s="52"/>
      <c r="P20" s="45"/>
      <c r="Q20" s="297"/>
      <c r="R20" s="296"/>
      <c r="S20" s="44"/>
      <c r="T20" s="52"/>
      <c r="U20" s="45"/>
      <c r="V20" s="297"/>
      <c r="W20" s="296"/>
    </row>
    <row r="21" spans="2:23" x14ac:dyDescent="0.25">
      <c r="B21" s="51"/>
      <c r="C21" s="42"/>
      <c r="D21" s="52"/>
      <c r="E21" s="45"/>
      <c r="F21" s="297" t="str">
        <f>IF(VIONARO!N31="","",VIONARO!N31)</f>
        <v/>
      </c>
      <c r="G21" s="296"/>
      <c r="H21" s="51"/>
      <c r="I21" s="42"/>
      <c r="J21" s="52"/>
      <c r="K21" s="45"/>
      <c r="L21" s="297" t="str">
        <f>IF(VIONARO!T31="","",VIONARO!T31)</f>
        <v/>
      </c>
      <c r="M21" s="296"/>
      <c r="N21" s="42"/>
      <c r="O21" s="52"/>
      <c r="P21" s="45"/>
      <c r="Q21" s="297" t="str">
        <f>IF(VIONARO!Y31="","",VIONARO!Y31)</f>
        <v/>
      </c>
      <c r="R21" s="296"/>
      <c r="S21" s="42"/>
      <c r="T21" s="52"/>
      <c r="U21" s="45"/>
      <c r="V21" s="297" t="str">
        <f>IF(VIONARO!AD31="","",VIONARO!AD31)</f>
        <v/>
      </c>
      <c r="W21" s="296"/>
    </row>
    <row r="22" spans="2:23" x14ac:dyDescent="0.25">
      <c r="B22" s="51"/>
      <c r="C22" s="44"/>
      <c r="D22" s="52"/>
      <c r="E22" s="45"/>
      <c r="F22" s="297"/>
      <c r="G22" s="296"/>
      <c r="H22" s="51"/>
      <c r="I22" s="44"/>
      <c r="J22" s="52"/>
      <c r="K22" s="45"/>
      <c r="L22" s="297"/>
      <c r="M22" s="296"/>
      <c r="N22" s="44"/>
      <c r="O22" s="52"/>
      <c r="P22" s="45"/>
      <c r="Q22" s="297"/>
      <c r="R22" s="296"/>
      <c r="S22" s="44"/>
      <c r="T22" s="52"/>
      <c r="U22" s="45"/>
      <c r="V22" s="297"/>
      <c r="W22" s="296"/>
    </row>
    <row r="23" spans="2:23" x14ac:dyDescent="0.25">
      <c r="B23" s="51"/>
      <c r="C23" s="42"/>
      <c r="D23" s="42"/>
      <c r="E23" s="42"/>
      <c r="F23" s="42"/>
      <c r="G23" s="296"/>
      <c r="H23" s="51"/>
      <c r="I23" s="42"/>
      <c r="J23" s="42"/>
      <c r="K23" s="42"/>
      <c r="L23" s="42"/>
      <c r="M23" s="296"/>
      <c r="N23" s="42"/>
      <c r="O23" s="42"/>
      <c r="P23" s="42"/>
      <c r="Q23" s="42"/>
      <c r="R23" s="296"/>
      <c r="S23" s="42"/>
      <c r="T23" s="42"/>
      <c r="U23" s="42"/>
      <c r="V23" s="42"/>
      <c r="W23" s="296"/>
    </row>
    <row r="24" spans="2:23" x14ac:dyDescent="0.25">
      <c r="B24" s="51"/>
      <c r="C24" s="51"/>
      <c r="D24" s="51"/>
      <c r="E24" s="51"/>
      <c r="F24" s="51"/>
      <c r="G24" s="51"/>
      <c r="H24" s="51"/>
    </row>
    <row r="25" spans="2:23" x14ac:dyDescent="0.25">
      <c r="B25" s="51"/>
      <c r="C25" s="51"/>
      <c r="D25" s="51"/>
      <c r="E25" s="51"/>
      <c r="F25" s="51"/>
      <c r="G25" s="51"/>
      <c r="H25" s="51"/>
    </row>
    <row r="26" spans="2:23" x14ac:dyDescent="0.25">
      <c r="B26" s="51"/>
      <c r="C26" s="51"/>
      <c r="D26" s="51"/>
      <c r="E26" s="51"/>
      <c r="F26" s="51"/>
      <c r="G26" s="51"/>
      <c r="H26" s="51"/>
    </row>
    <row r="27" spans="2:23" x14ac:dyDescent="0.25">
      <c r="B27" s="51"/>
      <c r="C27" s="51"/>
      <c r="D27" s="51"/>
      <c r="E27" s="51"/>
      <c r="F27" s="51"/>
      <c r="G27" s="51"/>
      <c r="H27" s="51"/>
    </row>
  </sheetData>
  <mergeCells count="20">
    <mergeCell ref="R14:R23"/>
    <mergeCell ref="Q15:Q16"/>
    <mergeCell ref="Q17:Q18"/>
    <mergeCell ref="Q19:Q20"/>
    <mergeCell ref="Q21:Q22"/>
    <mergeCell ref="W14:W23"/>
    <mergeCell ref="V15:V16"/>
    <mergeCell ref="V17:V18"/>
    <mergeCell ref="V19:V20"/>
    <mergeCell ref="V21:V22"/>
    <mergeCell ref="G14:G23"/>
    <mergeCell ref="F15:F16"/>
    <mergeCell ref="F17:F18"/>
    <mergeCell ref="F19:F20"/>
    <mergeCell ref="F21:F22"/>
    <mergeCell ref="M14:M23"/>
    <mergeCell ref="L15:L16"/>
    <mergeCell ref="L17:L18"/>
    <mergeCell ref="L19:L20"/>
    <mergeCell ref="L21:L22"/>
  </mergeCell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O23"/>
  <sheetViews>
    <sheetView workbookViewId="0">
      <selection activeCell="L18" sqref="L18"/>
    </sheetView>
  </sheetViews>
  <sheetFormatPr defaultColWidth="11.42578125" defaultRowHeight="15" x14ac:dyDescent="0.25"/>
  <cols>
    <col min="2" max="2" width="32.85546875" customWidth="1"/>
    <col min="3" max="3" width="32.85546875" hidden="1" customWidth="1"/>
  </cols>
  <sheetData>
    <row r="1" spans="1:15" x14ac:dyDescent="0.25">
      <c r="D1" s="225" t="s">
        <v>19</v>
      </c>
      <c r="E1" s="225" t="s">
        <v>20</v>
      </c>
      <c r="F1" t="s">
        <v>21</v>
      </c>
      <c r="G1" s="225" t="s">
        <v>22</v>
      </c>
      <c r="H1" t="s">
        <v>23</v>
      </c>
      <c r="I1" t="s">
        <v>24</v>
      </c>
      <c r="J1" t="s">
        <v>25</v>
      </c>
      <c r="K1" t="s">
        <v>26</v>
      </c>
      <c r="L1" s="225" t="s">
        <v>507</v>
      </c>
      <c r="M1" s="225" t="s">
        <v>1080</v>
      </c>
      <c r="N1" s="225" t="s">
        <v>727</v>
      </c>
    </row>
    <row r="2" spans="1:15" ht="15" customHeight="1" x14ac:dyDescent="0.25">
      <c r="B2" t="s">
        <v>803</v>
      </c>
      <c r="D2" s="46" t="str">
        <f>Sprachen!A59</f>
        <v>Änderungen, Fehler und Irrtümer vorbehalten. Die Nutzung des Konfigurators erfolgt auf eigenes Risiko.
Haftungsansprüche gegenüber Grass GmbH sind ausgeschlossen. Es handelt sich um unverbindliche Empfehlungen.
Bei Fragen oder Unklarheiten kontaktieren Sie bitte unsere Fachleute.</v>
      </c>
      <c r="E2" s="46" t="str">
        <f>Sprachen!B59</f>
        <v>Subject to change. All error &amp; omissions excepted. Use of the configurator is at the user's risk.
All liability claims against GRASS GmbH are excluded. The recommendations provided are non-binding.
Please contact our expert in the case of questions or unclarity.</v>
      </c>
      <c r="F2" s="46">
        <f>Sprachen!C59</f>
        <v>0</v>
      </c>
      <c r="G2" s="46" t="str">
        <f>Sprachen!D59</f>
        <v>Sous réserve de modifications. Toutes erreurs et omissions exceptées. Utilisation du configurateur est aux risques de l'utilisateur.
Toutes responsabilité contre GRASS GmbH sont exclus. Les recommandations fournies ne sont pas contraignantes.
S'il vous plaît contacter notre expert en cas de questions ou de manque de clarté.</v>
      </c>
      <c r="H2" s="46">
        <f>Sprachen!E59</f>
        <v>0</v>
      </c>
      <c r="I2" s="46">
        <f>Sprachen!F59</f>
        <v>0</v>
      </c>
      <c r="J2" s="46">
        <f>Sprachen!G59</f>
        <v>0</v>
      </c>
      <c r="K2" s="46">
        <f>Sprachen!H59</f>
        <v>0</v>
      </c>
      <c r="L2" s="46" t="str">
        <f>Sprachen!I59</f>
        <v>Wijzigingen en vergissingen zijn voorbehouden. Het gebruik van de configurator
is op eigen risico. Aansprakelijkheid van claims tegen Grass GmbH zijn uitgesloten.
Het handelt om niet-bindenden aanbevelingen. Voor vragen of twijfel
neem dan contact op met onze specialisten.</v>
      </c>
      <c r="M2" s="46" t="str">
        <f>Sprachen!J59</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N2" s="46" t="str">
        <f>Sprachen!K59</f>
        <v>Konfigurátor používejte pouze jako nezávazné doporučení. Případné nároky za jakoukoli odpovědnost
jsou vůči Grass GmbH, resp. Würth, spol. sr.o. zcela vyloučeny.
V případě dotazů či nejasností se obraťte na naše obchodní zástupce, případně specialisty.</v>
      </c>
    </row>
    <row r="3" spans="1:15" ht="15" customHeight="1" x14ac:dyDescent="0.25">
      <c r="A3" t="b">
        <v>0</v>
      </c>
      <c r="B3" t="s">
        <v>782</v>
      </c>
      <c r="D3" s="46" t="str">
        <f>Sprachen!A60</f>
        <v>Nova Pro Classic ist innovative Technologie in Zeitlos eleganter Optik.</v>
      </c>
      <c r="E3" s="46" t="str">
        <f>Sprachen!B60</f>
        <v>Nova Pro Classic is innovative technology with a timeless visual design.</v>
      </c>
      <c r="F3" s="46">
        <f>Sprachen!C60</f>
        <v>0</v>
      </c>
      <c r="G3" s="46" t="str">
        <f>Sprachen!D60</f>
        <v>Nova Pro Classic est une technologie innovante présentée avec un aspect élégant, intemporel.</v>
      </c>
      <c r="H3" s="46">
        <f>Sprachen!E60</f>
        <v>0</v>
      </c>
      <c r="I3" s="46">
        <f>Sprachen!F60</f>
        <v>0</v>
      </c>
      <c r="J3" s="46">
        <f>Sprachen!G60</f>
        <v>0</v>
      </c>
      <c r="K3" s="46">
        <f>Sprachen!H60</f>
        <v>0</v>
      </c>
      <c r="L3" s="46" t="str">
        <f>Sprachen!I60</f>
        <v>Nova Pro Classic is een innovatieve technologie in een tijdloos optiek</v>
      </c>
      <c r="M3" s="46" t="str">
        <f>Sprachen!J60</f>
        <v>Nova Pro Classic to innowacyjna technologia i elegancki wygląd.</v>
      </c>
      <c r="N3" s="46" t="str">
        <f>Sprachen!K60</f>
        <v>jsou vůči Grass GmbH, resp. Würth, spol. sr.o. zcela vyloučeny.</v>
      </c>
    </row>
    <row r="4" spans="1:15" ht="15" customHeight="1" x14ac:dyDescent="0.25">
      <c r="A4" t="b">
        <v>0</v>
      </c>
      <c r="B4" t="s">
        <v>784</v>
      </c>
      <c r="D4" s="46" t="str">
        <f>Sprachen!A61</f>
        <v>Nova Pro Deluxe bietet höchste Funktionalität, zeitloses Design und außerordentlichen Komfort - von der Führung bis zum Aufsatz-System.</v>
      </c>
      <c r="E4" s="46" t="str">
        <f>Sprachen!B61</f>
        <v>Nova Pro Deluxe ensures maximum function, timeless design and outstanding convenience – from the slides to the add-on system.</v>
      </c>
      <c r="F4" s="46">
        <f>Sprachen!C61</f>
        <v>0</v>
      </c>
      <c r="G4" s="46" t="str">
        <f>Sprachen!D61</f>
        <v>Nova Pro Deluxe offre une fonctionnalité innovante, un design intemporel et un confort extrême, de la coulisse au de la coulisse au tiroir.</v>
      </c>
      <c r="H4" s="46">
        <f>Sprachen!E61</f>
        <v>0</v>
      </c>
      <c r="I4" s="46">
        <f>Sprachen!F61</f>
        <v>0</v>
      </c>
      <c r="J4" s="46">
        <f>Sprachen!G61</f>
        <v>0</v>
      </c>
      <c r="K4" s="46">
        <f>Sprachen!H61</f>
        <v>0</v>
      </c>
      <c r="L4" s="46" t="str">
        <f>Sprachen!I61</f>
        <v>Nova Pro Deluxe biedt hoge functionaliteit, tijdloos design en ongekende comfor- van geleiders tot aan de gehele montage</v>
      </c>
      <c r="M4" s="46" t="str">
        <f>Sprachen!J61</f>
        <v>Nova Pro Deluxe oferuje najwyższą funkcjonalność,  ponadczasowy wygląd i komfort użytkowania.</v>
      </c>
      <c r="N4" s="46" t="str">
        <f>Sprachen!K61</f>
        <v>V případě dotazů či nejasností se obraťte na naše obchodní zástupce, případně specialisty.</v>
      </c>
    </row>
    <row r="5" spans="1:15" ht="15" customHeight="1" x14ac:dyDescent="0.25">
      <c r="A5" t="b">
        <v>0</v>
      </c>
      <c r="B5" t="s">
        <v>785</v>
      </c>
      <c r="D5" s="46" t="str">
        <f>Sprachen!A62</f>
        <v>Die neue Auszugsgeneration. Inspiration im rechten Winkel. Einfach. Klar. Zeitlos</v>
      </c>
      <c r="E5" s="46" t="str">
        <f>Sprachen!B62</f>
        <v>The new drawer generation. Inspiration in the right angle. Simple. Clear. Timeless.</v>
      </c>
      <c r="F5" s="46">
        <f>Sprachen!C62</f>
        <v>0</v>
      </c>
      <c r="G5" s="46" t="str">
        <f>Sprachen!D62</f>
        <v>La nouvelle génération de tiroirs. L’inspiration à angle droit. Simple. Clair. Intemporel.</v>
      </c>
      <c r="H5" s="46">
        <f>Sprachen!E62</f>
        <v>0</v>
      </c>
      <c r="I5" s="46">
        <f>Sprachen!F62</f>
        <v>0</v>
      </c>
      <c r="J5" s="46">
        <f>Sprachen!G62</f>
        <v>0</v>
      </c>
      <c r="K5" s="46">
        <f>Sprachen!H62</f>
        <v>0</v>
      </c>
      <c r="L5" s="46" t="str">
        <f>Sprachen!I62</f>
        <v>Het nieuwe ladesystem. Inspiratie met rechte hoeken. Eenvoudig. Duidelijk.Tijdloos.</v>
      </c>
      <c r="M5" s="46" t="str">
        <f>Sprachen!J62</f>
        <v>Nowa generacja szuflad. Zainspirowana prostotą i zachowaniem kątów prostych.</v>
      </c>
      <c r="N5" s="46">
        <f>Sprachen!K62</f>
        <v>0</v>
      </c>
    </row>
    <row r="6" spans="1:15" ht="15" customHeight="1" x14ac:dyDescent="0.25">
      <c r="A6" t="b">
        <v>0</v>
      </c>
      <c r="B6" t="s">
        <v>786</v>
      </c>
      <c r="C6" s="112" t="s">
        <v>809</v>
      </c>
      <c r="D6" s="46" t="str">
        <f>Sprachen!A63</f>
        <v>Das kubistische Schubkasten-System, kombiniert das millionenfach bewährte Führungs-System Dynapro mit vollendetem Design.</v>
      </c>
      <c r="E6" s="46" t="str">
        <f>Sprachen!B63</f>
        <v>The cubist drawer system in classy minimalist styling combines the Dynapro slide system with perfect design.</v>
      </c>
      <c r="F6" s="46">
        <f>Sprachen!C63</f>
        <v>0</v>
      </c>
      <c r="G6" s="46" t="str">
        <f>Sprachen!D63</f>
        <v>Le système de tiroirs cubiques au design minimaliste combine le système de coulisses Dynapro à une esthétique épurée.</v>
      </c>
      <c r="H6" s="46">
        <f>Sprachen!E63</f>
        <v>0</v>
      </c>
      <c r="I6" s="46">
        <f>Sprachen!F63</f>
        <v>0</v>
      </c>
      <c r="J6" s="46">
        <f>Sprachen!G63</f>
        <v>0</v>
      </c>
      <c r="K6" s="46">
        <f>Sprachen!H63</f>
        <v>0</v>
      </c>
      <c r="L6" s="46" t="str">
        <f>Sprachen!I63</f>
        <v>Het kubistische lade systeem, combineert de miljoenvoud van een bewezen geleidingssysteem Dynapro met volmaakte stijl.</v>
      </c>
      <c r="M6" s="46" t="str">
        <f>Sprachen!J63</f>
        <v>Kubistyczna forma szuflad oraz sprawdzone prowadnice Dynapro to idealne połączenie elegancji i niezawodności.</v>
      </c>
      <c r="N6" s="46" t="str">
        <f>Sprachen!K63</f>
        <v>Kubistický zásuvkový systém ušlechtilého vzhedu, kombinovaný s osvědčeným vodícím systémem Dynapro.</v>
      </c>
      <c r="O6" s="224"/>
    </row>
    <row r="7" spans="1:15" ht="15" customHeight="1" x14ac:dyDescent="0.25">
      <c r="A7" t="b">
        <v>0</v>
      </c>
      <c r="B7" t="s">
        <v>787</v>
      </c>
      <c r="D7" s="46" t="str">
        <f>Sprachen!A64</f>
        <v>Das bewährte Auszugs-System bietet hervorragende Qualität, größte Gestaltungsvielfalt und innovative Funktionslösungen.</v>
      </c>
      <c r="E7" s="46" t="str">
        <f>Sprachen!B64</f>
        <v>This tried-and-tested drawer system offers outstanding quality, maximum design freedom and innovative functional solutions.</v>
      </c>
      <c r="F7" s="46">
        <f>Sprachen!C64</f>
        <v>0</v>
      </c>
      <c r="G7" s="46" t="str">
        <f>Sprachen!D64</f>
        <v>Le système de tiroirs éprouvé offre une qualité excellente, une grande polyvalence d’agencement et des solutions fonctionnelles innovantes.</v>
      </c>
      <c r="H7" s="46">
        <f>Sprachen!E64</f>
        <v>0</v>
      </c>
      <c r="I7" s="46">
        <f>Sprachen!F64</f>
        <v>0</v>
      </c>
      <c r="J7" s="46">
        <f>Sprachen!G64</f>
        <v>0</v>
      </c>
      <c r="K7" s="46">
        <f>Sprachen!H64</f>
        <v>0</v>
      </c>
      <c r="L7" s="46" t="str">
        <f>Sprachen!I64</f>
        <v>Het gewaarborgde lade system biedt geweldige kwaliteit, grote verscheidenheid met functionele oplossingen</v>
      </c>
      <c r="M7" s="46" t="str">
        <f>Sprachen!J64</f>
        <v>Sprawdzony i niezawodny system szuflad oferuje najwyższą jakość pracy, różnorodność wykonania oraz innowacyjną funkcjonalność.</v>
      </c>
      <c r="N7" s="46">
        <f>Sprachen!K64</f>
        <v>0</v>
      </c>
    </row>
    <row r="8" spans="1:15" ht="15" customHeight="1" x14ac:dyDescent="0.25">
      <c r="D8" s="46" t="str">
        <f>Sprachen!A65</f>
        <v>die Konfiguration starten</v>
      </c>
      <c r="E8" s="46" t="str">
        <f>Sprachen!B65</f>
        <v>Start the configuration</v>
      </c>
      <c r="F8" s="46">
        <f>Sprachen!C65</f>
        <v>0</v>
      </c>
      <c r="G8" s="46" t="str">
        <f>Sprachen!D65</f>
        <v>Démarrer la configuration</v>
      </c>
      <c r="H8" s="46">
        <f>Sprachen!E65</f>
        <v>0</v>
      </c>
      <c r="I8" s="46">
        <f>Sprachen!F65</f>
        <v>0</v>
      </c>
      <c r="J8" s="46">
        <f>Sprachen!G65</f>
        <v>0</v>
      </c>
      <c r="K8" s="46">
        <f>Sprachen!H65</f>
        <v>0</v>
      </c>
      <c r="L8" s="46" t="str">
        <f>Sprachen!I65</f>
        <v>Configuratie beginnen</v>
      </c>
      <c r="M8" s="46" t="str">
        <f>Sprachen!J65</f>
        <v>Start konfiguratora</v>
      </c>
      <c r="N8" s="46" t="str">
        <f>Sprachen!K65</f>
        <v>Start konfigurace</v>
      </c>
    </row>
    <row r="9" spans="1:15" ht="15" customHeight="1" x14ac:dyDescent="0.25">
      <c r="D9" s="46">
        <f>Sprachen!A66</f>
        <v>0</v>
      </c>
      <c r="E9" s="46">
        <f>Sprachen!B66</f>
        <v>0</v>
      </c>
      <c r="F9" s="46">
        <f>Sprachen!C66</f>
        <v>0</v>
      </c>
      <c r="G9" s="46">
        <f>Sprachen!D66</f>
        <v>0</v>
      </c>
      <c r="H9" s="46">
        <f>Sprachen!E66</f>
        <v>0</v>
      </c>
      <c r="I9" s="46">
        <f>Sprachen!F66</f>
        <v>0</v>
      </c>
      <c r="J9" s="46">
        <f>Sprachen!G66</f>
        <v>0</v>
      </c>
      <c r="K9" s="46">
        <f>Sprachen!H66</f>
        <v>0</v>
      </c>
      <c r="L9" s="46">
        <f>Sprachen!I66</f>
        <v>0</v>
      </c>
      <c r="M9" s="46">
        <f>Sprachen!J66</f>
        <v>0</v>
      </c>
      <c r="N9" s="46">
        <f>Sprachen!K66</f>
        <v>0</v>
      </c>
    </row>
    <row r="10" spans="1:15" ht="15" customHeight="1" x14ac:dyDescent="0.25">
      <c r="A10" t="e">
        <f>VLOOKUP(TRUE,A3:C7,2,FALSE)</f>
        <v>#N/A</v>
      </c>
    </row>
    <row r="11" spans="1:15" ht="15" customHeight="1" x14ac:dyDescent="0.25"/>
    <row r="12" spans="1:15" ht="15" customHeight="1" x14ac:dyDescent="0.25"/>
    <row r="13" spans="1:15" ht="15" customHeight="1" x14ac:dyDescent="0.25"/>
    <row r="14" spans="1:15" ht="15" customHeight="1" x14ac:dyDescent="0.25"/>
    <row r="15" spans="1:15" ht="15" customHeight="1" x14ac:dyDescent="0.25"/>
    <row r="16" spans="1: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sheetData>
  <hyperlinks>
    <hyperlink ref="C6" location="VIONARO1!A1" display="VIONARO1!A1"/>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
  <sheetViews>
    <sheetView workbookViewId="0">
      <selection activeCell="H31" sqref="H31"/>
    </sheetView>
  </sheetViews>
  <sheetFormatPr defaultColWidth="11.42578125" defaultRowHeight="15" x14ac:dyDescent="0.25"/>
  <cols>
    <col min="1" max="16384" width="11.42578125" style="51"/>
  </cols>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G36" sqref="G36"/>
    </sheetView>
  </sheetViews>
  <sheetFormatPr defaultColWidth="11.42578125" defaultRowHeight="15" x14ac:dyDescent="0.25"/>
  <cols>
    <col min="8" max="8" width="12.85546875" customWidth="1"/>
    <col min="9" max="9" width="24.42578125" bestFit="1" customWidth="1"/>
    <col min="10" max="10" width="25.140625" bestFit="1" customWidth="1"/>
    <col min="11" max="11" width="17" customWidth="1"/>
  </cols>
  <sheetData>
    <row r="1" spans="1:11" x14ac:dyDescent="0.25">
      <c r="A1" s="218" t="s">
        <v>971</v>
      </c>
      <c r="B1" s="218" t="s">
        <v>972</v>
      </c>
      <c r="C1" s="218" t="s">
        <v>973</v>
      </c>
      <c r="D1" s="221"/>
      <c r="F1" s="219" t="s">
        <v>974</v>
      </c>
      <c r="G1" s="220" t="s">
        <v>970</v>
      </c>
      <c r="H1" s="218" t="s">
        <v>971</v>
      </c>
      <c r="I1" s="218" t="s">
        <v>972</v>
      </c>
      <c r="J1" s="218" t="s">
        <v>973</v>
      </c>
    </row>
    <row r="2" spans="1:11" x14ac:dyDescent="0.25">
      <c r="A2" s="159" t="str">
        <f>Formeln!B97</f>
        <v>F135119442</v>
      </c>
      <c r="B2" s="159" t="str">
        <f>Formeln!A97</f>
        <v>ok</v>
      </c>
      <c r="C2" s="159" t="str">
        <f>Formeln!C97</f>
        <v>Vionaro Stahl Zarge H185</v>
      </c>
      <c r="D2" s="5" t="str">
        <f>Formeln!D97</f>
        <v>NL500 graphit  Set VE1/5</v>
      </c>
      <c r="E2">
        <f>Formeln!E97</f>
        <v>1</v>
      </c>
      <c r="F2" s="13">
        <f t="array" ref="F2">SMALL((activité=$G$1)*ROW(activité),ROWS(activité)-COUNTIF(activité,$G$1)+ROW()-1)</f>
        <v>2</v>
      </c>
      <c r="H2" s="159" t="str">
        <f>IF(ISERROR($F2),"",INDEX(A:A,$F2))</f>
        <v>F135119442</v>
      </c>
      <c r="I2" s="159" t="str">
        <f>IF(ISERROR($F2),"",INDEX(C:C,$F2))</f>
        <v>Vionaro Stahl Zarge H185</v>
      </c>
      <c r="J2" s="159" t="str">
        <f>IF(ISERROR($F2),"",INDEX(D:D,$F2))</f>
        <v>NL500 graphit  Set VE1/5</v>
      </c>
      <c r="K2" s="159">
        <f>IF(ISERROR($F2),"",INDEX(E:E,$F2))</f>
        <v>1</v>
      </c>
    </row>
    <row r="3" spans="1:11" x14ac:dyDescent="0.25">
      <c r="A3" s="159" t="str">
        <f>Formeln!B98</f>
        <v>F135119433</v>
      </c>
      <c r="B3" s="159" t="str">
        <f>Formeln!A98</f>
        <v>ok</v>
      </c>
      <c r="C3" s="159" t="str">
        <f>Formeln!C98</f>
        <v>Vionaro Stahl Zarge H185</v>
      </c>
      <c r="D3" s="5" t="str">
        <f>Formeln!D98</f>
        <v>NL450 graphit  Set VE1/5</v>
      </c>
      <c r="E3">
        <f>Formeln!E98</f>
        <v>1</v>
      </c>
      <c r="F3" s="13">
        <f t="array" ref="F3">SMALL((activité=$G$1)*ROW(activité),ROWS(activité)-COUNTIF(activité,$G$1)+ROW()-1)</f>
        <v>3</v>
      </c>
      <c r="H3" s="159" t="str">
        <f t="shared" ref="H3:H29" si="0">IF(ISERROR($F3),"",INDEX(A:A,$F3))</f>
        <v>F135119433</v>
      </c>
      <c r="I3" s="159" t="str">
        <f t="shared" ref="I3:I29" si="1">IF(ISERROR($F3),"",INDEX(C:C,$F3))</f>
        <v>Vionaro Stahl Zarge H185</v>
      </c>
      <c r="J3" s="159" t="str">
        <f t="shared" ref="J3:J29" si="2">IF(ISERROR($F3),"",INDEX(D:D,$F3))</f>
        <v>NL450 graphit  Set VE1/5</v>
      </c>
      <c r="K3" s="159">
        <f t="shared" ref="K3:K29" si="3">IF(ISERROR($F3),"",INDEX(E:E,$F3))</f>
        <v>1</v>
      </c>
    </row>
    <row r="4" spans="1:11" x14ac:dyDescent="0.25">
      <c r="A4" s="159" t="str">
        <f>Formeln!B99</f>
        <v>F136100312</v>
      </c>
      <c r="B4" s="159" t="str">
        <f>Formeln!A99</f>
        <v>ok</v>
      </c>
      <c r="C4" s="159" t="str">
        <f>Formeln!C99</f>
        <v>Vionaro Zubehör-Set H185</v>
      </c>
      <c r="D4" s="5" t="str">
        <f>Formeln!D99</f>
        <v>Graphit z. Anschr. VPE 50</v>
      </c>
      <c r="E4">
        <f>Formeln!E99</f>
        <v>1</v>
      </c>
      <c r="F4" s="13">
        <f t="array" ref="F4">SMALL((activité=$G$1)*ROW(activité),ROWS(activité)-COUNTIF(activité,$G$1)+ROW()-1)</f>
        <v>4</v>
      </c>
      <c r="H4" s="159" t="str">
        <f t="shared" si="0"/>
        <v>F136100312</v>
      </c>
      <c r="I4" s="159" t="str">
        <f t="shared" si="1"/>
        <v>Vionaro Zubehör-Set H185</v>
      </c>
      <c r="J4" s="159" t="str">
        <f t="shared" si="2"/>
        <v>Graphit z. Anschr. VPE 50</v>
      </c>
      <c r="K4" s="159">
        <f t="shared" si="3"/>
        <v>1</v>
      </c>
    </row>
    <row r="5" spans="1:11" x14ac:dyDescent="0.25">
      <c r="A5" s="159" t="str">
        <f>Formeln!B100</f>
        <v>F136100319</v>
      </c>
      <c r="B5" s="159" t="str">
        <f>Formeln!A100</f>
        <v>ok</v>
      </c>
      <c r="C5" s="159" t="str">
        <f>Formeln!C100</f>
        <v>Vionaro Zubehör-Set Innenbl.</v>
      </c>
      <c r="D5" s="5" t="str">
        <f>Formeln!D100</f>
        <v>Graphit H185 VPE 50</v>
      </c>
      <c r="E5">
        <f>Formeln!E100</f>
        <v>1</v>
      </c>
      <c r="F5" s="13">
        <f t="array" ref="F5">SMALL((activité=$G$1)*ROW(activité),ROWS(activité)-COUNTIF(activité,$G$1)+ROW()-1)</f>
        <v>5</v>
      </c>
      <c r="H5" s="159" t="str">
        <f t="shared" si="0"/>
        <v>F136100319</v>
      </c>
      <c r="I5" s="159" t="str">
        <f t="shared" si="1"/>
        <v>Vionaro Zubehör-Set Innenbl.</v>
      </c>
      <c r="J5" s="159" t="str">
        <f t="shared" si="2"/>
        <v>Graphit H185 VPE 50</v>
      </c>
      <c r="K5" s="159">
        <f t="shared" si="3"/>
        <v>1</v>
      </c>
    </row>
    <row r="6" spans="1:11" x14ac:dyDescent="0.25">
      <c r="A6" s="159" t="str">
        <f>Formeln!B101</f>
        <v>F136120539</v>
      </c>
      <c r="B6" s="159" t="str">
        <f>Formeln!A101</f>
        <v>ok</v>
      </c>
      <c r="C6" s="159" t="str">
        <f>Formeln!C101</f>
        <v>Vionaro Innenblende H185</v>
      </c>
      <c r="D6" s="5" t="str">
        <f>Formeln!D101</f>
        <v>1160 graphit z. Abläng. VE1/10</v>
      </c>
      <c r="E6">
        <f>Formeln!E101</f>
        <v>1</v>
      </c>
      <c r="F6" s="13">
        <f t="array" ref="F6">SMALL((activité=$G$1)*ROW(activité),ROWS(activité)-COUNTIF(activité,$G$1)+ROW()-1)</f>
        <v>6</v>
      </c>
      <c r="H6" s="159" t="str">
        <f t="shared" si="0"/>
        <v>F136120539</v>
      </c>
      <c r="I6" s="159" t="str">
        <f t="shared" si="1"/>
        <v>Vionaro Innenblende H185</v>
      </c>
      <c r="J6" s="159" t="str">
        <f t="shared" si="2"/>
        <v>1160 graphit z. Abläng. VE1/10</v>
      </c>
      <c r="K6" s="159">
        <f t="shared" si="3"/>
        <v>1</v>
      </c>
    </row>
    <row r="7" spans="1:11" x14ac:dyDescent="0.25">
      <c r="A7" s="159" t="str">
        <f>Formeln!B102</f>
        <v>F130116024</v>
      </c>
      <c r="B7" s="159" t="str">
        <f>Formeln!A102</f>
        <v>ok</v>
      </c>
      <c r="C7" s="159" t="str">
        <f>Formeln!C102</f>
        <v>Dynapro ST LN500 40 3D</v>
      </c>
      <c r="D7" s="5" t="str">
        <f>Formeln!D102</f>
        <v>Soft-Close</v>
      </c>
      <c r="E7">
        <f>Formeln!E102</f>
        <v>1</v>
      </c>
      <c r="F7" s="13">
        <f t="array" ref="F7">SMALL((activité=$G$1)*ROW(activité),ROWS(activité)-COUNTIF(activité,$G$1)+ROW()-1)</f>
        <v>7</v>
      </c>
      <c r="H7" s="159" t="str">
        <f t="shared" si="0"/>
        <v>F130116024</v>
      </c>
      <c r="I7" s="159" t="str">
        <f t="shared" si="1"/>
        <v>Dynapro ST LN500 40 3D</v>
      </c>
      <c r="J7" s="159" t="str">
        <f t="shared" si="2"/>
        <v>Soft-Close</v>
      </c>
      <c r="K7" s="159">
        <f t="shared" si="3"/>
        <v>1</v>
      </c>
    </row>
    <row r="8" spans="1:11" x14ac:dyDescent="0.25">
      <c r="A8" s="159" t="str">
        <f>Formeln!B103</f>
        <v>F130116022</v>
      </c>
      <c r="B8" s="159" t="str">
        <f>Formeln!A103</f>
        <v>ok</v>
      </c>
      <c r="C8" s="159" t="str">
        <f>Formeln!C103</f>
        <v>Dynapro ST LN450 40 3D</v>
      </c>
      <c r="D8" s="5" t="str">
        <f>Formeln!D103</f>
        <v>Soft-Close</v>
      </c>
      <c r="E8">
        <f>Formeln!E103</f>
        <v>1</v>
      </c>
      <c r="F8" s="13">
        <f t="array" ref="F8">SMALL((activité=$G$1)*ROW(activité),ROWS(activité)-COUNTIF(activité,$G$1)+ROW()-1)</f>
        <v>8</v>
      </c>
      <c r="H8" s="159" t="str">
        <f t="shared" si="0"/>
        <v>F130116022</v>
      </c>
      <c r="I8" s="159" t="str">
        <f t="shared" si="1"/>
        <v>Dynapro ST LN450 40 3D</v>
      </c>
      <c r="J8" s="159" t="str">
        <f t="shared" si="2"/>
        <v>Soft-Close</v>
      </c>
      <c r="K8" s="159">
        <f t="shared" si="3"/>
        <v>1</v>
      </c>
    </row>
    <row r="9" spans="1:11" x14ac:dyDescent="0.25">
      <c r="A9" s="159" t="str">
        <f>Formeln!B104</f>
        <v>F135119333</v>
      </c>
      <c r="B9" s="159" t="str">
        <f>Formeln!A104</f>
        <v>ok</v>
      </c>
      <c r="C9" s="159" t="str">
        <f>Formeln!C104</f>
        <v>Vionaro Stahl Zarge H89</v>
      </c>
      <c r="D9" s="5" t="str">
        <f>Formeln!D104</f>
        <v>NL500 graphit  Set VE1/5</v>
      </c>
      <c r="E9">
        <f>Formeln!E104</f>
        <v>1</v>
      </c>
      <c r="F9" s="13">
        <f t="array" ref="F9">SMALL((activité=$G$1)*ROW(activité),ROWS(activité)-COUNTIF(activité,$G$1)+ROW()-1)</f>
        <v>9</v>
      </c>
      <c r="H9" s="159" t="str">
        <f t="shared" si="0"/>
        <v>F135119333</v>
      </c>
      <c r="I9" s="159" t="str">
        <f t="shared" si="1"/>
        <v>Vionaro Stahl Zarge H89</v>
      </c>
      <c r="J9" s="159" t="str">
        <f t="shared" si="2"/>
        <v>NL500 graphit  Set VE1/5</v>
      </c>
      <c r="K9" s="159">
        <f t="shared" si="3"/>
        <v>1</v>
      </c>
    </row>
    <row r="10" spans="1:11" x14ac:dyDescent="0.25">
      <c r="A10" s="159" t="str">
        <f>Formeln!B105</f>
        <v>0</v>
      </c>
      <c r="B10" s="159" t="str">
        <f>Formeln!A105</f>
        <v>non</v>
      </c>
      <c r="C10" s="159" t="str">
        <f>Formeln!C105</f>
        <v>0</v>
      </c>
      <c r="D10" s="5" t="str">
        <f>Formeln!D105</f>
        <v>0</v>
      </c>
      <c r="E10" t="str">
        <f>Formeln!E105</f>
        <v>0</v>
      </c>
      <c r="F10" s="13">
        <f t="array" ref="F10">SMALL((activité=$G$1)*ROW(activité),ROWS(activité)-COUNTIF(activité,$G$1)+ROW()-1)</f>
        <v>11</v>
      </c>
      <c r="H10" s="159" t="str">
        <f t="shared" si="0"/>
        <v>F136100123</v>
      </c>
      <c r="I10" s="159" t="str">
        <f t="shared" si="1"/>
        <v>Vionaro Zubehör-Set H89</v>
      </c>
      <c r="J10" s="159" t="str">
        <f t="shared" si="2"/>
        <v>Graphit z. Anschr. VPE 50</v>
      </c>
      <c r="K10" s="159">
        <f t="shared" si="3"/>
        <v>1</v>
      </c>
    </row>
    <row r="11" spans="1:11" x14ac:dyDescent="0.25">
      <c r="A11" s="159" t="str">
        <f>Formeln!B106</f>
        <v>F136100123</v>
      </c>
      <c r="B11" s="159" t="str">
        <f>Formeln!A106</f>
        <v>ok</v>
      </c>
      <c r="C11" s="159" t="str">
        <f>Formeln!C106</f>
        <v>Vionaro Zubehör-Set H89</v>
      </c>
      <c r="D11" s="5" t="str">
        <f>Formeln!D106</f>
        <v>Graphit z. Anschr. VPE 50</v>
      </c>
      <c r="E11">
        <f>Formeln!E106</f>
        <v>1</v>
      </c>
      <c r="F11" s="13">
        <f t="array" ref="F11">SMALL((activité=$G$1)*ROW(activité),ROWS(activité)-COUNTIF(activité,$G$1)+ROW()-1)</f>
        <v>14</v>
      </c>
      <c r="H11" s="159" t="str">
        <f t="shared" si="0"/>
        <v>F130116024</v>
      </c>
      <c r="I11" s="159" t="str">
        <f t="shared" si="1"/>
        <v>Dynapro ST LN500 40 3D</v>
      </c>
      <c r="J11" s="159" t="str">
        <f t="shared" si="2"/>
        <v>Soft-Close</v>
      </c>
      <c r="K11" s="159">
        <f t="shared" si="3"/>
        <v>1</v>
      </c>
    </row>
    <row r="12" spans="1:11" x14ac:dyDescent="0.25">
      <c r="A12" s="159" t="str">
        <f>Formeln!B107</f>
        <v>0</v>
      </c>
      <c r="B12" s="159" t="str">
        <f>Formeln!A107</f>
        <v>non</v>
      </c>
      <c r="C12" s="159" t="str">
        <f>Formeln!C107</f>
        <v>0</v>
      </c>
      <c r="D12" s="5" t="str">
        <f>Formeln!D107</f>
        <v>0</v>
      </c>
      <c r="E12" t="str">
        <f>Formeln!E107</f>
        <v>0</v>
      </c>
      <c r="F12" s="13" t="e">
        <f t="array" ref="F12">SMALL((activité=$G$1)*ROW(activité),ROWS(activité)-COUNTIF(activité,$G$1)+ROW()-1)</f>
        <v>#NUM!</v>
      </c>
      <c r="H12" s="159" t="str">
        <f t="shared" si="0"/>
        <v/>
      </c>
      <c r="I12" s="159" t="str">
        <f t="shared" si="1"/>
        <v/>
      </c>
      <c r="J12" s="159" t="str">
        <f t="shared" si="2"/>
        <v/>
      </c>
      <c r="K12" s="159" t="str">
        <f t="shared" si="3"/>
        <v/>
      </c>
    </row>
    <row r="13" spans="1:11" x14ac:dyDescent="0.25">
      <c r="A13" s="159" t="str">
        <f>Formeln!B108</f>
        <v>0</v>
      </c>
      <c r="B13" s="159" t="str">
        <f>Formeln!A108</f>
        <v>non</v>
      </c>
      <c r="C13" s="159" t="str">
        <f>Formeln!C108</f>
        <v>0</v>
      </c>
      <c r="D13" s="5" t="str">
        <f>Formeln!D108</f>
        <v>0</v>
      </c>
      <c r="E13" t="str">
        <f>Formeln!E108</f>
        <v>0</v>
      </c>
      <c r="F13" s="13" t="e">
        <f t="array" ref="F13">SMALL((activité=$G$1)*ROW(activité),ROWS(activité)-COUNTIF(activité,$G$1)+ROW()-1)</f>
        <v>#NUM!</v>
      </c>
      <c r="H13" s="159" t="str">
        <f t="shared" si="0"/>
        <v/>
      </c>
      <c r="I13" s="159" t="str">
        <f t="shared" si="1"/>
        <v/>
      </c>
      <c r="J13" s="159" t="str">
        <f t="shared" si="2"/>
        <v/>
      </c>
      <c r="K13" s="159" t="str">
        <f t="shared" si="3"/>
        <v/>
      </c>
    </row>
    <row r="14" spans="1:11" x14ac:dyDescent="0.25">
      <c r="A14" s="159" t="str">
        <f>Formeln!B109</f>
        <v>F130116024</v>
      </c>
      <c r="B14" s="159" t="str">
        <f>Formeln!A109</f>
        <v>ok</v>
      </c>
      <c r="C14" s="159" t="str">
        <f>Formeln!C109</f>
        <v>Dynapro ST LN500 40 3D</v>
      </c>
      <c r="D14" s="5" t="str">
        <f>Formeln!D109</f>
        <v>Soft-Close</v>
      </c>
      <c r="E14">
        <f>Formeln!E109</f>
        <v>1</v>
      </c>
      <c r="F14" s="13" t="e">
        <f t="array" ref="F14">SMALL((activité=$G$1)*ROW(activité),ROWS(activité)-COUNTIF(activité,$G$1)+ROW()-1)</f>
        <v>#NUM!</v>
      </c>
      <c r="H14" s="159" t="str">
        <f t="shared" si="0"/>
        <v/>
      </c>
      <c r="I14" s="159" t="str">
        <f t="shared" si="1"/>
        <v/>
      </c>
      <c r="J14" s="159" t="str">
        <f t="shared" si="2"/>
        <v/>
      </c>
      <c r="K14" s="159" t="str">
        <f t="shared" si="3"/>
        <v/>
      </c>
    </row>
    <row r="15" spans="1:11" x14ac:dyDescent="0.25">
      <c r="A15" s="159" t="str">
        <f>Formeln!B110</f>
        <v>0</v>
      </c>
      <c r="B15" s="159" t="str">
        <f>Formeln!A110</f>
        <v>non</v>
      </c>
      <c r="C15" s="159" t="str">
        <f>Formeln!C110</f>
        <v>0</v>
      </c>
      <c r="D15" s="5" t="str">
        <f>Formeln!D110</f>
        <v>0</v>
      </c>
      <c r="E15" t="str">
        <f>Formeln!E110</f>
        <v>0</v>
      </c>
      <c r="F15" s="13" t="e">
        <f t="array" ref="F15">SMALL((activité=$G$1)*ROW(activité),ROWS(activité)-COUNTIF(activité,$G$1)+ROW()-1)</f>
        <v>#NUM!</v>
      </c>
      <c r="H15" s="159" t="str">
        <f t="shared" si="0"/>
        <v/>
      </c>
      <c r="I15" s="159" t="str">
        <f t="shared" si="1"/>
        <v/>
      </c>
      <c r="J15" s="159" t="str">
        <f t="shared" si="2"/>
        <v/>
      </c>
      <c r="K15" s="159" t="str">
        <f t="shared" si="3"/>
        <v/>
      </c>
    </row>
    <row r="16" spans="1:11" x14ac:dyDescent="0.25">
      <c r="A16" s="159" t="str">
        <f>Formeln!B111</f>
        <v>0</v>
      </c>
      <c r="B16" s="159" t="str">
        <f>Formeln!A111</f>
        <v>non</v>
      </c>
      <c r="C16" s="159" t="str">
        <f>Formeln!C111</f>
        <v>0</v>
      </c>
      <c r="D16" s="5" t="str">
        <f>Formeln!D111</f>
        <v>0</v>
      </c>
      <c r="E16" t="str">
        <f>Formeln!E111</f>
        <v>0</v>
      </c>
      <c r="F16" s="13" t="e">
        <f t="array" ref="F16">SMALL((activité=$G$1)*ROW(activité),ROWS(activité)-COUNTIF(activité,$G$1)+ROW()-1)</f>
        <v>#NUM!</v>
      </c>
      <c r="H16" s="159" t="str">
        <f t="shared" si="0"/>
        <v/>
      </c>
      <c r="I16" s="159" t="str">
        <f t="shared" si="1"/>
        <v/>
      </c>
      <c r="J16" s="159" t="str">
        <f t="shared" si="2"/>
        <v/>
      </c>
      <c r="K16" s="159" t="str">
        <f t="shared" si="3"/>
        <v/>
      </c>
    </row>
    <row r="17" spans="1:11" x14ac:dyDescent="0.25">
      <c r="A17" s="159" t="str">
        <f>Formeln!B112</f>
        <v>0</v>
      </c>
      <c r="B17" s="159" t="str">
        <f>Formeln!A112</f>
        <v>non</v>
      </c>
      <c r="C17" s="159" t="str">
        <f>Formeln!C112</f>
        <v>0</v>
      </c>
      <c r="D17" s="5" t="str">
        <f>Formeln!D112</f>
        <v>0</v>
      </c>
      <c r="E17" t="str">
        <f>Formeln!E112</f>
        <v>0</v>
      </c>
      <c r="F17" s="13" t="e">
        <f t="array" ref="F17">SMALL((activité=$G$1)*ROW(activité),ROWS(activité)-COUNTIF(activité,$G$1)+ROW()-1)</f>
        <v>#NUM!</v>
      </c>
      <c r="H17" s="159" t="str">
        <f t="shared" si="0"/>
        <v/>
      </c>
      <c r="I17" s="159" t="str">
        <f t="shared" si="1"/>
        <v/>
      </c>
      <c r="J17" s="159" t="str">
        <f t="shared" si="2"/>
        <v/>
      </c>
      <c r="K17" s="159" t="str">
        <f t="shared" si="3"/>
        <v/>
      </c>
    </row>
    <row r="18" spans="1:11" x14ac:dyDescent="0.25">
      <c r="A18" s="159" t="str">
        <f>Formeln!B113</f>
        <v>0</v>
      </c>
      <c r="B18" s="159" t="str">
        <f>Formeln!A113</f>
        <v>non</v>
      </c>
      <c r="C18" s="159" t="str">
        <f>Formeln!C113</f>
        <v>0</v>
      </c>
      <c r="D18" s="5" t="str">
        <f>Formeln!D113</f>
        <v>0</v>
      </c>
      <c r="E18" t="str">
        <f>Formeln!E113</f>
        <v>0</v>
      </c>
      <c r="F18" s="13" t="e">
        <f t="array" ref="F18">SMALL((activité=$G$1)*ROW(activité),ROWS(activité)-COUNTIF(activité,$G$1)+ROW()-1)</f>
        <v>#NUM!</v>
      </c>
      <c r="H18" s="159" t="str">
        <f t="shared" si="0"/>
        <v/>
      </c>
      <c r="I18" s="159" t="str">
        <f t="shared" si="1"/>
        <v/>
      </c>
      <c r="J18" s="159" t="str">
        <f t="shared" si="2"/>
        <v/>
      </c>
      <c r="K18" s="159" t="str">
        <f t="shared" si="3"/>
        <v/>
      </c>
    </row>
    <row r="19" spans="1:11" x14ac:dyDescent="0.25">
      <c r="A19" s="159" t="str">
        <f>Formeln!B114</f>
        <v>0</v>
      </c>
      <c r="B19" s="159" t="str">
        <f>Formeln!A114</f>
        <v>non</v>
      </c>
      <c r="C19" s="159" t="str">
        <f>Formeln!C114</f>
        <v>0</v>
      </c>
      <c r="D19" s="5" t="str">
        <f>Formeln!D114</f>
        <v>0</v>
      </c>
      <c r="E19" t="str">
        <f>Formeln!E114</f>
        <v>0</v>
      </c>
      <c r="F19" s="13" t="e">
        <f t="array" ref="F19">SMALL((activité=$G$1)*ROW(activité),ROWS(activité)-COUNTIF(activité,$G$1)+ROW()-1)</f>
        <v>#NUM!</v>
      </c>
      <c r="H19" s="159" t="str">
        <f t="shared" si="0"/>
        <v/>
      </c>
      <c r="I19" s="159" t="str">
        <f t="shared" si="1"/>
        <v/>
      </c>
      <c r="J19" s="159" t="str">
        <f t="shared" si="2"/>
        <v/>
      </c>
      <c r="K19" s="159" t="str">
        <f t="shared" si="3"/>
        <v/>
      </c>
    </row>
    <row r="20" spans="1:11" x14ac:dyDescent="0.25">
      <c r="A20" s="159" t="str">
        <f>Formeln!B115</f>
        <v>0</v>
      </c>
      <c r="B20" s="159" t="str">
        <f>Formeln!A115</f>
        <v>non</v>
      </c>
      <c r="C20" s="159" t="str">
        <f>Formeln!C115</f>
        <v>0</v>
      </c>
      <c r="D20" s="5" t="str">
        <f>Formeln!D115</f>
        <v>0</v>
      </c>
      <c r="E20" t="str">
        <f>Formeln!E115</f>
        <v>0</v>
      </c>
      <c r="F20" s="13" t="e">
        <f t="array" ref="F20">SMALL((activité=$G$1)*ROW(activité),ROWS(activité)-COUNTIF(activité,$G$1)+ROW()-1)</f>
        <v>#NUM!</v>
      </c>
      <c r="H20" s="159" t="str">
        <f t="shared" si="0"/>
        <v/>
      </c>
      <c r="I20" s="159" t="str">
        <f t="shared" si="1"/>
        <v/>
      </c>
      <c r="J20" s="159" t="str">
        <f t="shared" si="2"/>
        <v/>
      </c>
      <c r="K20" s="159" t="str">
        <f t="shared" si="3"/>
        <v/>
      </c>
    </row>
    <row r="21" spans="1:11" x14ac:dyDescent="0.25">
      <c r="A21" s="159" t="str">
        <f>Formeln!B116</f>
        <v>0</v>
      </c>
      <c r="B21" s="159" t="str">
        <f>Formeln!A116</f>
        <v>non</v>
      </c>
      <c r="C21" s="159" t="str">
        <f>Formeln!C116</f>
        <v>0</v>
      </c>
      <c r="D21" s="5" t="str">
        <f>Formeln!D116</f>
        <v>0</v>
      </c>
      <c r="E21" t="str">
        <f>Formeln!E116</f>
        <v>0</v>
      </c>
      <c r="F21" s="13" t="e">
        <f t="array" ref="F21">SMALL((activité=$G$1)*ROW(activité),ROWS(activité)-COUNTIF(activité,$G$1)+ROW()-1)</f>
        <v>#NUM!</v>
      </c>
      <c r="H21" s="159" t="str">
        <f t="shared" si="0"/>
        <v/>
      </c>
      <c r="I21" s="159" t="str">
        <f t="shared" si="1"/>
        <v/>
      </c>
      <c r="J21" s="159" t="str">
        <f t="shared" si="2"/>
        <v/>
      </c>
      <c r="K21" s="159" t="str">
        <f t="shared" si="3"/>
        <v/>
      </c>
    </row>
    <row r="22" spans="1:11" x14ac:dyDescent="0.25">
      <c r="A22" s="159" t="str">
        <f>Formeln!B117</f>
        <v>0</v>
      </c>
      <c r="B22" s="159" t="str">
        <f>Formeln!A117</f>
        <v>non</v>
      </c>
      <c r="C22" s="159" t="str">
        <f>Formeln!C117</f>
        <v>0</v>
      </c>
      <c r="D22" s="5" t="str">
        <f>Formeln!D117</f>
        <v>0</v>
      </c>
      <c r="E22" t="str">
        <f>Formeln!E117</f>
        <v>0</v>
      </c>
      <c r="F22" s="13" t="e">
        <f t="array" ref="F22">SMALL((activité=$G$1)*ROW(activité),ROWS(activité)-COUNTIF(activité,$G$1)+ROW()-1)</f>
        <v>#NUM!</v>
      </c>
      <c r="H22" s="159" t="str">
        <f t="shared" si="0"/>
        <v/>
      </c>
      <c r="I22" s="159" t="str">
        <f t="shared" si="1"/>
        <v/>
      </c>
      <c r="J22" s="159" t="str">
        <f t="shared" si="2"/>
        <v/>
      </c>
      <c r="K22" s="159" t="str">
        <f t="shared" si="3"/>
        <v/>
      </c>
    </row>
    <row r="23" spans="1:11" x14ac:dyDescent="0.25">
      <c r="A23" s="159" t="str">
        <f>Formeln!B118</f>
        <v>0</v>
      </c>
      <c r="B23" s="159" t="str">
        <f>Formeln!A118</f>
        <v>non</v>
      </c>
      <c r="C23" s="159" t="str">
        <f>Formeln!C118</f>
        <v>0</v>
      </c>
      <c r="D23" s="5" t="str">
        <f>Formeln!D118</f>
        <v>0</v>
      </c>
      <c r="E23" t="str">
        <f>Formeln!E118</f>
        <v>0</v>
      </c>
      <c r="F23" s="13" t="e">
        <f t="array" ref="F23">SMALL((activité=$G$1)*ROW(activité),ROWS(activité)-COUNTIF(activité,$G$1)+ROW()-1)</f>
        <v>#NUM!</v>
      </c>
      <c r="H23" s="159" t="str">
        <f t="shared" si="0"/>
        <v/>
      </c>
      <c r="I23" s="159" t="str">
        <f t="shared" si="1"/>
        <v/>
      </c>
      <c r="J23" s="159" t="str">
        <f t="shared" si="2"/>
        <v/>
      </c>
      <c r="K23" s="159" t="str">
        <f t="shared" si="3"/>
        <v/>
      </c>
    </row>
    <row r="24" spans="1:11" x14ac:dyDescent="0.25">
      <c r="A24" s="159" t="str">
        <f>Formeln!B119</f>
        <v>0</v>
      </c>
      <c r="B24" s="159" t="str">
        <f>Formeln!A119</f>
        <v>non</v>
      </c>
      <c r="C24" s="159" t="str">
        <f>Formeln!C119</f>
        <v>0</v>
      </c>
      <c r="D24" s="5" t="str">
        <f>Formeln!D119</f>
        <v>0</v>
      </c>
      <c r="E24" t="str">
        <f>Formeln!E119</f>
        <v>0</v>
      </c>
      <c r="F24" s="13" t="e">
        <f t="array" ref="F24">SMALL((activité=$G$1)*ROW(activité),ROWS(activité)-COUNTIF(activité,$G$1)+ROW()-1)</f>
        <v>#NUM!</v>
      </c>
      <c r="H24" s="159" t="str">
        <f t="shared" si="0"/>
        <v/>
      </c>
      <c r="I24" s="159" t="str">
        <f t="shared" si="1"/>
        <v/>
      </c>
      <c r="J24" s="159" t="str">
        <f t="shared" si="2"/>
        <v/>
      </c>
      <c r="K24" s="159" t="str">
        <f t="shared" si="3"/>
        <v/>
      </c>
    </row>
    <row r="25" spans="1:11" x14ac:dyDescent="0.25">
      <c r="A25" s="159" t="str">
        <f>Formeln!B120</f>
        <v>0</v>
      </c>
      <c r="B25" s="159" t="str">
        <f>Formeln!A120</f>
        <v>non</v>
      </c>
      <c r="C25" s="159" t="str">
        <f>Formeln!C120</f>
        <v>0</v>
      </c>
      <c r="D25" s="5" t="str">
        <f>Formeln!D120</f>
        <v>0</v>
      </c>
      <c r="E25" t="str">
        <f>Formeln!E120</f>
        <v>0</v>
      </c>
      <c r="F25" s="13" t="e">
        <f t="array" ref="F25">SMALL((activité=$G$1)*ROW(activité),ROWS(activité)-COUNTIF(activité,$G$1)+ROW()-1)</f>
        <v>#NUM!</v>
      </c>
      <c r="H25" s="159" t="str">
        <f t="shared" si="0"/>
        <v/>
      </c>
      <c r="I25" s="159" t="str">
        <f t="shared" si="1"/>
        <v/>
      </c>
      <c r="J25" s="159" t="str">
        <f t="shared" si="2"/>
        <v/>
      </c>
      <c r="K25" s="159" t="str">
        <f t="shared" si="3"/>
        <v/>
      </c>
    </row>
    <row r="26" spans="1:11" x14ac:dyDescent="0.25">
      <c r="A26" s="159" t="str">
        <f>Formeln!B121</f>
        <v>0</v>
      </c>
      <c r="B26" s="159" t="str">
        <f>Formeln!A121</f>
        <v>non</v>
      </c>
      <c r="C26" s="159" t="str">
        <f>Formeln!C121</f>
        <v>0</v>
      </c>
      <c r="D26" s="5" t="str">
        <f>Formeln!D121</f>
        <v>0</v>
      </c>
      <c r="E26" t="str">
        <f>Formeln!E121</f>
        <v>0</v>
      </c>
      <c r="F26" s="13" t="e">
        <f t="array" ref="F26">SMALL((activité=$G$1)*ROW(activité),ROWS(activité)-COUNTIF(activité,$G$1)+ROW()-1)</f>
        <v>#NUM!</v>
      </c>
      <c r="H26" s="159" t="str">
        <f t="shared" si="0"/>
        <v/>
      </c>
      <c r="I26" s="159" t="str">
        <f t="shared" si="1"/>
        <v/>
      </c>
      <c r="J26" s="159" t="str">
        <f t="shared" si="2"/>
        <v/>
      </c>
      <c r="K26" s="159" t="str">
        <f t="shared" si="3"/>
        <v/>
      </c>
    </row>
    <row r="27" spans="1:11" x14ac:dyDescent="0.25">
      <c r="A27" s="159" t="str">
        <f>Formeln!B122</f>
        <v>0</v>
      </c>
      <c r="B27" s="159" t="str">
        <f>Formeln!A122</f>
        <v>non</v>
      </c>
      <c r="C27" s="159" t="str">
        <f>Formeln!C122</f>
        <v>0</v>
      </c>
      <c r="D27" s="5" t="str">
        <f>Formeln!D122</f>
        <v>0</v>
      </c>
      <c r="E27" t="str">
        <f>Formeln!E122</f>
        <v>0</v>
      </c>
      <c r="F27" s="13" t="e">
        <f t="array" ref="F27">SMALL((activité=$G$1)*ROW(activité),ROWS(activité)-COUNTIF(activité,$G$1)+ROW()-1)</f>
        <v>#NUM!</v>
      </c>
      <c r="H27" s="159" t="str">
        <f t="shared" si="0"/>
        <v/>
      </c>
      <c r="I27" s="159" t="str">
        <f t="shared" si="1"/>
        <v/>
      </c>
      <c r="J27" s="159" t="str">
        <f t="shared" si="2"/>
        <v/>
      </c>
      <c r="K27" s="159" t="str">
        <f t="shared" si="3"/>
        <v/>
      </c>
    </row>
    <row r="28" spans="1:11" x14ac:dyDescent="0.25">
      <c r="A28" s="159" t="str">
        <f>Formeln!B123</f>
        <v>0</v>
      </c>
      <c r="B28" s="159" t="str">
        <f>Formeln!A123</f>
        <v>non</v>
      </c>
      <c r="C28" s="159" t="str">
        <f>Formeln!C123</f>
        <v>0</v>
      </c>
      <c r="D28" s="5" t="str">
        <f>Formeln!D123</f>
        <v>0</v>
      </c>
      <c r="E28" t="str">
        <f>Formeln!E123</f>
        <v>0</v>
      </c>
      <c r="F28" s="13" t="e">
        <f t="array" ref="F28">SMALL((activité=$G$1)*ROW(activité),ROWS(activité)-COUNTIF(activité,$G$1)+ROW()-1)</f>
        <v>#NUM!</v>
      </c>
      <c r="H28" s="159" t="str">
        <f t="shared" si="0"/>
        <v/>
      </c>
      <c r="I28" s="159" t="str">
        <f t="shared" si="1"/>
        <v/>
      </c>
      <c r="J28" s="159" t="str">
        <f t="shared" si="2"/>
        <v/>
      </c>
      <c r="K28" s="159" t="str">
        <f t="shared" si="3"/>
        <v/>
      </c>
    </row>
    <row r="29" spans="1:11" x14ac:dyDescent="0.25">
      <c r="A29" s="159" t="str">
        <f>Formeln!B124</f>
        <v>0</v>
      </c>
      <c r="B29" s="159" t="str">
        <f>Formeln!A124</f>
        <v>non</v>
      </c>
      <c r="C29" s="159" t="str">
        <f>Formeln!C124</f>
        <v>0</v>
      </c>
      <c r="D29" s="5" t="str">
        <f>Formeln!D124</f>
        <v>0</v>
      </c>
      <c r="E29" t="str">
        <f>Formeln!E124</f>
        <v>0</v>
      </c>
      <c r="F29" s="13" t="e">
        <f t="array" ref="F29">SMALL((activité=$G$1)*ROW(activité),ROWS(activité)-COUNTIF(activité,$G$1)+ROW()-1)</f>
        <v>#NUM!</v>
      </c>
      <c r="H29" s="159" t="str">
        <f t="shared" si="0"/>
        <v/>
      </c>
      <c r="I29" s="159" t="str">
        <f t="shared" si="1"/>
        <v/>
      </c>
      <c r="J29" s="159" t="str">
        <f t="shared" si="2"/>
        <v/>
      </c>
      <c r="K29" s="159" t="str">
        <f t="shared" si="3"/>
        <v/>
      </c>
    </row>
  </sheetData>
  <dataValidations count="1">
    <dataValidation type="list" allowBlank="1" showInputMessage="1" showErrorMessage="1" sqref="G1">
      <formula1>"ok,non"</formula1>
    </dataValidation>
  </dataValidation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opLeftCell="AN2" workbookViewId="0">
      <selection activeCell="BC18" sqref="BC18"/>
    </sheetView>
  </sheetViews>
  <sheetFormatPr defaultColWidth="11.42578125" defaultRowHeight="15" x14ac:dyDescent="0.25"/>
  <sheetData>
    <row r="1" spans="1:14" x14ac:dyDescent="0.25">
      <c r="D1" s="218" t="s">
        <v>971</v>
      </c>
      <c r="E1" s="218" t="s">
        <v>972</v>
      </c>
      <c r="F1" s="218" t="s">
        <v>973</v>
      </c>
      <c r="H1" s="219" t="s">
        <v>974</v>
      </c>
      <c r="I1" s="220" t="s">
        <v>970</v>
      </c>
      <c r="J1" s="218" t="s">
        <v>971</v>
      </c>
      <c r="K1" s="218" t="s">
        <v>972</v>
      </c>
      <c r="L1" s="218" t="s">
        <v>973</v>
      </c>
    </row>
    <row r="2" spans="1:14" x14ac:dyDescent="0.25">
      <c r="A2" t="str">
        <f>Formeln!A136</f>
        <v>ok</v>
      </c>
      <c r="B2" t="str">
        <f>Formeln!B136</f>
        <v>Dno 1A</v>
      </c>
      <c r="C2">
        <f>Formeln!C136</f>
        <v>489</v>
      </c>
      <c r="D2">
        <f>Formeln!D136</f>
        <v>543</v>
      </c>
      <c r="E2">
        <f>Formeln!E136</f>
        <v>16</v>
      </c>
      <c r="F2">
        <f>Formeln!F136</f>
        <v>1</v>
      </c>
      <c r="H2" s="13">
        <f t="array" ref="H2">SMALL((activ2=$I$1)*ROW(activ2),ROWS(activ2)-COUNTIF(activ2,$I$1)+ROW()-1)</f>
        <v>2</v>
      </c>
      <c r="J2" s="159" t="str">
        <f>IF(ISERROR($H2),"",INDEX(B:B,$H2))</f>
        <v>Dno 1A</v>
      </c>
      <c r="K2" s="159">
        <f t="shared" ref="K2:N2" si="0">IF(ISERROR($H2),"",INDEX(C:C,$H2))</f>
        <v>489</v>
      </c>
      <c r="L2" s="159">
        <f t="shared" si="0"/>
        <v>543</v>
      </c>
      <c r="M2" s="159">
        <f t="shared" si="0"/>
        <v>16</v>
      </c>
      <c r="N2" s="159">
        <f t="shared" si="0"/>
        <v>1</v>
      </c>
    </row>
    <row r="3" spans="1:14" x14ac:dyDescent="0.25">
      <c r="A3" t="str">
        <f>Formeln!A137</f>
        <v>ok</v>
      </c>
      <c r="B3" t="str">
        <f>Formeln!B137</f>
        <v>Plecy 1A</v>
      </c>
      <c r="C3">
        <f>Formeln!C137</f>
        <v>155</v>
      </c>
      <c r="D3">
        <f>Formeln!D137</f>
        <v>522</v>
      </c>
      <c r="E3">
        <f>Formeln!E137</f>
        <v>16</v>
      </c>
      <c r="F3">
        <f>Formeln!F137</f>
        <v>1</v>
      </c>
      <c r="H3" s="13">
        <f t="array" ref="H3">SMALL((activ2=$I$1)*ROW(activ2),ROWS(activ2)-COUNTIF(activ2,$I$1)+ROW()-1)</f>
        <v>3</v>
      </c>
      <c r="J3" s="159" t="str">
        <f t="shared" ref="J3:J20" si="1">IF(ISERROR($H3),"",INDEX(B:B,$H3))</f>
        <v>Plecy 1A</v>
      </c>
      <c r="K3" s="159">
        <f t="shared" ref="K3:K20" si="2">IF(ISERROR($H3),"",INDEX(C:C,$H3))</f>
        <v>155</v>
      </c>
      <c r="L3" s="159">
        <f t="shared" ref="L3:L20" si="3">IF(ISERROR($H3),"",INDEX(D:D,$H3))</f>
        <v>522</v>
      </c>
      <c r="M3" s="159">
        <f t="shared" ref="M3:M20" si="4">IF(ISERROR($H3),"",INDEX(E:E,$H3))</f>
        <v>16</v>
      </c>
      <c r="N3" s="159">
        <f t="shared" ref="N3:N20" si="5">IF(ISERROR($H3),"",INDEX(F:F,$H3))</f>
        <v>1</v>
      </c>
    </row>
    <row r="4" spans="1:14" x14ac:dyDescent="0.25">
      <c r="A4" t="str">
        <f>Formeln!A138</f>
        <v>ok</v>
      </c>
      <c r="B4" t="str">
        <f>Formeln!B138</f>
        <v>Dno 1B</v>
      </c>
      <c r="C4">
        <f>Formeln!C138</f>
        <v>439</v>
      </c>
      <c r="D4">
        <f>Formeln!D138</f>
        <v>543</v>
      </c>
      <c r="E4">
        <f>Formeln!E138</f>
        <v>16</v>
      </c>
      <c r="F4">
        <f>Formeln!F138</f>
        <v>1</v>
      </c>
      <c r="H4" s="13">
        <f t="array" ref="H4">SMALL((activ2=$I$1)*ROW(activ2),ROWS(activ2)-COUNTIF(activ2,$I$1)+ROW()-1)</f>
        <v>4</v>
      </c>
      <c r="J4" s="159" t="str">
        <f t="shared" si="1"/>
        <v>Dno 1B</v>
      </c>
      <c r="K4" s="159">
        <f t="shared" si="2"/>
        <v>439</v>
      </c>
      <c r="L4" s="159">
        <f t="shared" si="3"/>
        <v>543</v>
      </c>
      <c r="M4" s="159">
        <f t="shared" si="4"/>
        <v>16</v>
      </c>
      <c r="N4" s="159">
        <f t="shared" si="5"/>
        <v>1</v>
      </c>
    </row>
    <row r="5" spans="1:14" x14ac:dyDescent="0.25">
      <c r="A5" t="str">
        <f>Formeln!A139</f>
        <v>ok</v>
      </c>
      <c r="B5" t="str">
        <f>Formeln!B139</f>
        <v>Plecy 1B</v>
      </c>
      <c r="C5">
        <f>Formeln!C139</f>
        <v>155</v>
      </c>
      <c r="D5">
        <f>Formeln!D139</f>
        <v>522</v>
      </c>
      <c r="E5">
        <f>Formeln!E139</f>
        <v>16</v>
      </c>
      <c r="F5">
        <f>Formeln!F139</f>
        <v>1</v>
      </c>
      <c r="H5" s="13">
        <f t="array" ref="H5">SMALL((activ2=$I$1)*ROW(activ2),ROWS(activ2)-COUNTIF(activ2,$I$1)+ROW()-1)</f>
        <v>5</v>
      </c>
      <c r="J5" s="159" t="str">
        <f t="shared" si="1"/>
        <v>Plecy 1B</v>
      </c>
      <c r="K5" s="159">
        <f t="shared" si="2"/>
        <v>155</v>
      </c>
      <c r="L5" s="159">
        <f t="shared" si="3"/>
        <v>522</v>
      </c>
      <c r="M5" s="159">
        <f t="shared" si="4"/>
        <v>16</v>
      </c>
      <c r="N5" s="159">
        <f t="shared" si="5"/>
        <v>1</v>
      </c>
    </row>
    <row r="6" spans="1:14" x14ac:dyDescent="0.25">
      <c r="A6" t="str">
        <f>Formeln!A140</f>
        <v>non</v>
      </c>
      <c r="B6">
        <f>Formeln!B140</f>
        <v>0</v>
      </c>
      <c r="C6">
        <f>Formeln!C140</f>
        <v>0</v>
      </c>
      <c r="D6">
        <f>Formeln!D140</f>
        <v>0</v>
      </c>
      <c r="E6">
        <f>Formeln!E140</f>
        <v>0</v>
      </c>
      <c r="F6">
        <f>Formeln!F140</f>
        <v>0</v>
      </c>
      <c r="H6" s="13">
        <f t="array" ref="H6">SMALL((activ2=$I$1)*ROW(activ2),ROWS(activ2)-COUNTIF(activ2,$I$1)+ROW()-1)</f>
        <v>9</v>
      </c>
      <c r="J6" s="159" t="str">
        <f t="shared" si="1"/>
        <v>Dno 2A</v>
      </c>
      <c r="K6" s="159">
        <f t="shared" si="2"/>
        <v>489</v>
      </c>
      <c r="L6" s="159">
        <f t="shared" si="3"/>
        <v>543</v>
      </c>
      <c r="M6" s="159">
        <f t="shared" si="4"/>
        <v>16</v>
      </c>
      <c r="N6" s="159">
        <f t="shared" si="5"/>
        <v>1</v>
      </c>
    </row>
    <row r="7" spans="1:14" x14ac:dyDescent="0.25">
      <c r="A7" t="str">
        <f>Formeln!A141</f>
        <v>non</v>
      </c>
      <c r="B7">
        <f>Formeln!B141</f>
        <v>0</v>
      </c>
      <c r="C7">
        <f>Formeln!C141</f>
        <v>0</v>
      </c>
      <c r="D7">
        <f>Formeln!D141</f>
        <v>0</v>
      </c>
      <c r="E7">
        <f>Formeln!E141</f>
        <v>0</v>
      </c>
      <c r="F7">
        <f>Formeln!F141</f>
        <v>0</v>
      </c>
      <c r="H7" s="13">
        <f t="array" ref="H7">SMALL((activ2=$I$1)*ROW(activ2),ROWS(activ2)-COUNTIF(activ2,$I$1)+ROW()-1)</f>
        <v>10</v>
      </c>
      <c r="J7" s="159" t="str">
        <f t="shared" si="1"/>
        <v>Plecy 2A</v>
      </c>
      <c r="K7" s="159">
        <f t="shared" si="2"/>
        <v>59</v>
      </c>
      <c r="L7" s="159">
        <f t="shared" si="3"/>
        <v>522</v>
      </c>
      <c r="M7" s="159">
        <f t="shared" si="4"/>
        <v>16</v>
      </c>
      <c r="N7" s="159">
        <f t="shared" si="5"/>
        <v>1</v>
      </c>
    </row>
    <row r="8" spans="1:14" x14ac:dyDescent="0.25">
      <c r="A8" t="str">
        <f>Formeln!A142</f>
        <v>non</v>
      </c>
      <c r="B8">
        <f>Formeln!B142</f>
        <v>0</v>
      </c>
      <c r="C8">
        <f>Formeln!C142</f>
        <v>0</v>
      </c>
      <c r="D8">
        <f>Formeln!D142</f>
        <v>0</v>
      </c>
      <c r="E8">
        <f>Formeln!E142</f>
        <v>0</v>
      </c>
      <c r="F8">
        <f>Formeln!F142</f>
        <v>0</v>
      </c>
      <c r="H8" s="13" t="e">
        <f t="array" ref="H8">SMALL((activ2=$I$1)*ROW(activ2),ROWS(activ2)-COUNTIF(activ2,$I$1)+ROW()-1)</f>
        <v>#NUM!</v>
      </c>
      <c r="J8" s="159" t="str">
        <f t="shared" si="1"/>
        <v/>
      </c>
      <c r="K8" s="159" t="str">
        <f t="shared" si="2"/>
        <v/>
      </c>
      <c r="L8" s="159" t="str">
        <f t="shared" si="3"/>
        <v/>
      </c>
      <c r="M8" s="159" t="str">
        <f t="shared" si="4"/>
        <v/>
      </c>
      <c r="N8" s="159" t="str">
        <f t="shared" si="5"/>
        <v/>
      </c>
    </row>
    <row r="9" spans="1:14" x14ac:dyDescent="0.25">
      <c r="A9" t="str">
        <f>Formeln!A143</f>
        <v>ok</v>
      </c>
      <c r="B9" t="str">
        <f>Formeln!B143</f>
        <v>Dno 2A</v>
      </c>
      <c r="C9">
        <f>Formeln!C143</f>
        <v>489</v>
      </c>
      <c r="D9">
        <f>Formeln!D143</f>
        <v>543</v>
      </c>
      <c r="E9">
        <f>Formeln!E143</f>
        <v>16</v>
      </c>
      <c r="F9">
        <f>Formeln!F143</f>
        <v>1</v>
      </c>
      <c r="H9" s="13" t="e">
        <f t="array" ref="H9">SMALL((activ2=$I$1)*ROW(activ2),ROWS(activ2)-COUNTIF(activ2,$I$1)+ROW()-1)</f>
        <v>#NUM!</v>
      </c>
      <c r="J9" s="159" t="str">
        <f t="shared" si="1"/>
        <v/>
      </c>
      <c r="K9" s="159" t="str">
        <f t="shared" si="2"/>
        <v/>
      </c>
      <c r="L9" s="159" t="str">
        <f t="shared" si="3"/>
        <v/>
      </c>
      <c r="M9" s="159" t="str">
        <f t="shared" si="4"/>
        <v/>
      </c>
      <c r="N9" s="159" t="str">
        <f t="shared" si="5"/>
        <v/>
      </c>
    </row>
    <row r="10" spans="1:14" x14ac:dyDescent="0.25">
      <c r="A10" t="str">
        <f>Formeln!A144</f>
        <v>ok</v>
      </c>
      <c r="B10" t="str">
        <f>Formeln!B144</f>
        <v>Plecy 2A</v>
      </c>
      <c r="C10">
        <f>Formeln!C144</f>
        <v>59</v>
      </c>
      <c r="D10">
        <f>Formeln!D144</f>
        <v>522</v>
      </c>
      <c r="E10">
        <f>Formeln!E144</f>
        <v>16</v>
      </c>
      <c r="F10">
        <f>Formeln!F144</f>
        <v>1</v>
      </c>
      <c r="H10" s="13" t="e">
        <f t="array" ref="H10">SMALL((activ2=$I$1)*ROW(activ2),ROWS(activ2)-COUNTIF(activ2,$I$1)+ROW()-1)</f>
        <v>#NUM!</v>
      </c>
      <c r="J10" s="159" t="str">
        <f t="shared" si="1"/>
        <v/>
      </c>
      <c r="K10" s="159" t="str">
        <f t="shared" si="2"/>
        <v/>
      </c>
      <c r="L10" s="159" t="str">
        <f t="shared" si="3"/>
        <v/>
      </c>
      <c r="M10" s="159" t="str">
        <f t="shared" si="4"/>
        <v/>
      </c>
      <c r="N10" s="159" t="str">
        <f t="shared" si="5"/>
        <v/>
      </c>
    </row>
    <row r="11" spans="1:14" x14ac:dyDescent="0.25">
      <c r="A11" t="str">
        <f>Formeln!A145</f>
        <v>non</v>
      </c>
      <c r="B11" t="str">
        <f>Formeln!B145</f>
        <v>Dno 2B</v>
      </c>
      <c r="C11">
        <f>Formeln!C145</f>
        <v>0</v>
      </c>
      <c r="D11">
        <f>Formeln!D145</f>
        <v>543</v>
      </c>
      <c r="E11">
        <f>Formeln!E145</f>
        <v>16</v>
      </c>
      <c r="F11">
        <f>Formeln!F145</f>
        <v>1</v>
      </c>
      <c r="H11" s="13" t="e">
        <f t="array" ref="H11">SMALL((activ2=$I$1)*ROW(activ2),ROWS(activ2)-COUNTIF(activ2,$I$1)+ROW()-1)</f>
        <v>#NUM!</v>
      </c>
      <c r="J11" s="159" t="str">
        <f t="shared" si="1"/>
        <v/>
      </c>
      <c r="K11" s="159" t="str">
        <f t="shared" si="2"/>
        <v/>
      </c>
      <c r="L11" s="159" t="str">
        <f t="shared" si="3"/>
        <v/>
      </c>
      <c r="M11" s="159" t="str">
        <f t="shared" si="4"/>
        <v/>
      </c>
      <c r="N11" s="159" t="str">
        <f t="shared" si="5"/>
        <v/>
      </c>
    </row>
    <row r="12" spans="1:14" x14ac:dyDescent="0.25">
      <c r="A12" t="str">
        <f>Formeln!A146</f>
        <v>non</v>
      </c>
      <c r="B12" t="str">
        <f>Formeln!B146</f>
        <v>Plecy 2B</v>
      </c>
      <c r="C12">
        <f>Formeln!C146</f>
        <v>0</v>
      </c>
      <c r="D12">
        <f>Formeln!D146</f>
        <v>522</v>
      </c>
      <c r="E12">
        <f>Formeln!E146</f>
        <v>16</v>
      </c>
      <c r="F12">
        <f>Formeln!F146</f>
        <v>1</v>
      </c>
      <c r="H12" s="13" t="e">
        <f t="array" ref="H12">SMALL((activ2=$I$1)*ROW(activ2),ROWS(activ2)-COUNTIF(activ2,$I$1)+ROW()-1)</f>
        <v>#NUM!</v>
      </c>
      <c r="J12" s="159" t="str">
        <f t="shared" si="1"/>
        <v/>
      </c>
      <c r="K12" s="159" t="str">
        <f t="shared" si="2"/>
        <v/>
      </c>
      <c r="L12" s="159" t="str">
        <f t="shared" si="3"/>
        <v/>
      </c>
      <c r="M12" s="159" t="str">
        <f t="shared" si="4"/>
        <v/>
      </c>
      <c r="N12" s="159" t="str">
        <f t="shared" si="5"/>
        <v/>
      </c>
    </row>
    <row r="13" spans="1:14" x14ac:dyDescent="0.25">
      <c r="A13" t="str">
        <f>Formeln!A147</f>
        <v>non</v>
      </c>
      <c r="B13">
        <f>Formeln!B147</f>
        <v>0</v>
      </c>
      <c r="C13">
        <f>Formeln!C147</f>
        <v>0</v>
      </c>
      <c r="D13">
        <f>Formeln!D147</f>
        <v>0</v>
      </c>
      <c r="E13">
        <f>Formeln!E147</f>
        <v>0</v>
      </c>
      <c r="F13">
        <f>Formeln!F147</f>
        <v>0</v>
      </c>
      <c r="H13" s="13" t="e">
        <f t="array" ref="H13">SMALL((activ2=$I$1)*ROW(activ2),ROWS(activ2)-COUNTIF(activ2,$I$1)+ROW()-1)</f>
        <v>#NUM!</v>
      </c>
      <c r="J13" s="159" t="str">
        <f t="shared" si="1"/>
        <v/>
      </c>
      <c r="K13" s="159" t="str">
        <f t="shared" si="2"/>
        <v/>
      </c>
      <c r="L13" s="159" t="str">
        <f t="shared" si="3"/>
        <v/>
      </c>
      <c r="M13" s="159" t="str">
        <f t="shared" si="4"/>
        <v/>
      </c>
      <c r="N13" s="159" t="str">
        <f t="shared" si="5"/>
        <v/>
      </c>
    </row>
    <row r="14" spans="1:14" x14ac:dyDescent="0.25">
      <c r="A14" t="str">
        <f>Formeln!A148</f>
        <v>non</v>
      </c>
      <c r="B14">
        <f>Formeln!B148</f>
        <v>0</v>
      </c>
      <c r="C14">
        <f>Formeln!C148</f>
        <v>0</v>
      </c>
      <c r="D14">
        <f>Formeln!D148</f>
        <v>0</v>
      </c>
      <c r="E14">
        <f>Formeln!E148</f>
        <v>0</v>
      </c>
      <c r="F14">
        <f>Formeln!F148</f>
        <v>0</v>
      </c>
      <c r="H14" s="13" t="e">
        <f t="array" ref="H14">SMALL((activ2=$I$1)*ROW(activ2),ROWS(activ2)-COUNTIF(activ2,$I$1)+ROW()-1)</f>
        <v>#NUM!</v>
      </c>
      <c r="J14" s="159" t="str">
        <f t="shared" si="1"/>
        <v/>
      </c>
      <c r="K14" s="159" t="str">
        <f t="shared" si="2"/>
        <v/>
      </c>
      <c r="L14" s="159" t="str">
        <f t="shared" si="3"/>
        <v/>
      </c>
      <c r="M14" s="159" t="str">
        <f t="shared" si="4"/>
        <v/>
      </c>
      <c r="N14" s="159" t="str">
        <f t="shared" si="5"/>
        <v/>
      </c>
    </row>
    <row r="15" spans="1:14" x14ac:dyDescent="0.25">
      <c r="A15" t="str">
        <f>Formeln!A149</f>
        <v>non</v>
      </c>
      <c r="B15">
        <f>Formeln!B149</f>
        <v>0</v>
      </c>
      <c r="C15">
        <f>Formeln!C149</f>
        <v>0</v>
      </c>
      <c r="D15">
        <f>Formeln!D149</f>
        <v>0</v>
      </c>
      <c r="E15">
        <f>Formeln!E149</f>
        <v>0</v>
      </c>
      <c r="F15">
        <f>Formeln!F149</f>
        <v>0</v>
      </c>
      <c r="H15" s="13" t="e">
        <f t="array" ref="H15">SMALL((activ2=$I$1)*ROW(activ2),ROWS(activ2)-COUNTIF(activ2,$I$1)+ROW()-1)</f>
        <v>#NUM!</v>
      </c>
      <c r="J15" s="159" t="str">
        <f t="shared" si="1"/>
        <v/>
      </c>
      <c r="K15" s="159" t="str">
        <f t="shared" si="2"/>
        <v/>
      </c>
      <c r="L15" s="159" t="str">
        <f t="shared" si="3"/>
        <v/>
      </c>
      <c r="M15" s="159" t="str">
        <f t="shared" si="4"/>
        <v/>
      </c>
      <c r="N15" s="159" t="str">
        <f t="shared" si="5"/>
        <v/>
      </c>
    </row>
    <row r="16" spans="1:14" x14ac:dyDescent="0.25">
      <c r="A16" t="str">
        <f>Formeln!A150</f>
        <v>non</v>
      </c>
      <c r="B16" t="str">
        <f>Formeln!B150</f>
        <v>Dno 3A</v>
      </c>
      <c r="C16">
        <f>Formeln!C150</f>
        <v>0</v>
      </c>
      <c r="D16">
        <f>Formeln!D150</f>
        <v>543</v>
      </c>
      <c r="E16">
        <f>Formeln!E150</f>
        <v>16</v>
      </c>
      <c r="F16">
        <f>Formeln!F150</f>
        <v>1</v>
      </c>
      <c r="H16" s="13" t="e">
        <f t="array" ref="H16">SMALL((activ2=$I$1)*ROW(activ2),ROWS(activ2)-COUNTIF(activ2,$I$1)+ROW()-1)</f>
        <v>#NUM!</v>
      </c>
      <c r="J16" s="159" t="str">
        <f t="shared" si="1"/>
        <v/>
      </c>
      <c r="K16" s="159" t="str">
        <f t="shared" si="2"/>
        <v/>
      </c>
      <c r="L16" s="159" t="str">
        <f t="shared" si="3"/>
        <v/>
      </c>
      <c r="M16" s="159" t="str">
        <f t="shared" si="4"/>
        <v/>
      </c>
      <c r="N16" s="159" t="str">
        <f t="shared" si="5"/>
        <v/>
      </c>
    </row>
    <row r="17" spans="1:14" x14ac:dyDescent="0.25">
      <c r="A17" t="str">
        <f>Formeln!A151</f>
        <v>non</v>
      </c>
      <c r="B17" t="str">
        <f>Formeln!B151</f>
        <v>Plecy 3A</v>
      </c>
      <c r="C17">
        <f>Formeln!C151</f>
        <v>0</v>
      </c>
      <c r="D17">
        <f>Formeln!D151</f>
        <v>522</v>
      </c>
      <c r="E17">
        <f>Formeln!E151</f>
        <v>16</v>
      </c>
      <c r="F17">
        <f>Formeln!F151</f>
        <v>1</v>
      </c>
      <c r="H17" s="13" t="e">
        <f t="array" ref="H17">SMALL((activ2=$I$1)*ROW(activ2),ROWS(activ2)-COUNTIF(activ2,$I$1)+ROW()-1)</f>
        <v>#NUM!</v>
      </c>
      <c r="J17" s="159" t="str">
        <f t="shared" si="1"/>
        <v/>
      </c>
      <c r="K17" s="159" t="str">
        <f t="shared" si="2"/>
        <v/>
      </c>
      <c r="L17" s="159" t="str">
        <f t="shared" si="3"/>
        <v/>
      </c>
      <c r="M17" s="159" t="str">
        <f t="shared" si="4"/>
        <v/>
      </c>
      <c r="N17" s="159" t="str">
        <f t="shared" si="5"/>
        <v/>
      </c>
    </row>
    <row r="18" spans="1:14" x14ac:dyDescent="0.25">
      <c r="A18" t="str">
        <f>Formeln!A152</f>
        <v>non</v>
      </c>
      <c r="B18" t="str">
        <f>Formeln!B152</f>
        <v>Dno 3B</v>
      </c>
      <c r="C18">
        <f>Formeln!C152</f>
        <v>0</v>
      </c>
      <c r="D18">
        <f>Formeln!D152</f>
        <v>543</v>
      </c>
      <c r="E18">
        <f>Formeln!E152</f>
        <v>16</v>
      </c>
      <c r="F18">
        <f>Formeln!F152</f>
        <v>1</v>
      </c>
      <c r="H18" s="13" t="e">
        <f t="array" ref="H18">SMALL((activ2=$I$1)*ROW(activ2),ROWS(activ2)-COUNTIF(activ2,$I$1)+ROW()-1)</f>
        <v>#NUM!</v>
      </c>
      <c r="J18" s="159" t="str">
        <f t="shared" si="1"/>
        <v/>
      </c>
      <c r="K18" s="159" t="str">
        <f t="shared" si="2"/>
        <v/>
      </c>
      <c r="L18" s="159" t="str">
        <f t="shared" si="3"/>
        <v/>
      </c>
      <c r="M18" s="159" t="str">
        <f t="shared" si="4"/>
        <v/>
      </c>
      <c r="N18" s="159" t="str">
        <f t="shared" si="5"/>
        <v/>
      </c>
    </row>
    <row r="19" spans="1:14" x14ac:dyDescent="0.25">
      <c r="A19" t="str">
        <f>Formeln!A153</f>
        <v>non</v>
      </c>
      <c r="B19" t="str">
        <f>Formeln!B153</f>
        <v>Plecy 3B</v>
      </c>
      <c r="C19">
        <f>Formeln!C153</f>
        <v>0</v>
      </c>
      <c r="D19">
        <f>Formeln!D153</f>
        <v>522</v>
      </c>
      <c r="E19">
        <f>Formeln!E153</f>
        <v>16</v>
      </c>
      <c r="F19">
        <f>Formeln!F153</f>
        <v>1</v>
      </c>
      <c r="H19" s="13" t="e">
        <f t="array" ref="H19">SMALL((activ2=$I$1)*ROW(activ2),ROWS(activ2)-COUNTIF(activ2,$I$1)+ROW()-1)</f>
        <v>#NUM!</v>
      </c>
      <c r="J19" s="159" t="str">
        <f t="shared" si="1"/>
        <v/>
      </c>
      <c r="K19" s="159" t="str">
        <f t="shared" si="2"/>
        <v/>
      </c>
      <c r="L19" s="159" t="str">
        <f t="shared" si="3"/>
        <v/>
      </c>
      <c r="M19" s="159" t="str">
        <f t="shared" si="4"/>
        <v/>
      </c>
      <c r="N19" s="159" t="str">
        <f t="shared" si="5"/>
        <v/>
      </c>
    </row>
    <row r="20" spans="1:14" x14ac:dyDescent="0.25">
      <c r="A20" t="str">
        <f>Formeln!A154</f>
        <v>non</v>
      </c>
      <c r="B20">
        <f>Formeln!B154</f>
        <v>0</v>
      </c>
      <c r="C20">
        <f>Formeln!C154</f>
        <v>0</v>
      </c>
      <c r="D20">
        <f>Formeln!D154</f>
        <v>0</v>
      </c>
      <c r="E20">
        <f>Formeln!E154</f>
        <v>0</v>
      </c>
      <c r="F20">
        <f>Formeln!F154</f>
        <v>0</v>
      </c>
      <c r="H20" s="13" t="e">
        <f t="array" ref="H20">SMALL((activ2=$I$1)*ROW(activ2),ROWS(activ2)-COUNTIF(activ2,$I$1)+ROW()-1)</f>
        <v>#NUM!</v>
      </c>
      <c r="J20" s="159" t="str">
        <f t="shared" si="1"/>
        <v/>
      </c>
      <c r="K20" s="159" t="str">
        <f t="shared" si="2"/>
        <v/>
      </c>
      <c r="L20" s="159" t="str">
        <f t="shared" si="3"/>
        <v/>
      </c>
      <c r="M20" s="159" t="str">
        <f t="shared" si="4"/>
        <v/>
      </c>
      <c r="N20" s="159" t="str">
        <f t="shared" si="5"/>
        <v/>
      </c>
    </row>
    <row r="21" spans="1:14" x14ac:dyDescent="0.25">
      <c r="A21" t="str">
        <f>Formeln!A155</f>
        <v>non</v>
      </c>
      <c r="B21">
        <f>Formeln!B155</f>
        <v>0</v>
      </c>
      <c r="C21">
        <f>Formeln!C155</f>
        <v>0</v>
      </c>
      <c r="D21">
        <f>Formeln!D155</f>
        <v>0</v>
      </c>
      <c r="E21">
        <f>Formeln!E155</f>
        <v>0</v>
      </c>
      <c r="F21">
        <f>Formeln!F155</f>
        <v>0</v>
      </c>
      <c r="H21" s="13" t="e">
        <f t="array" ref="H21">SMALL((activ2=$I$1)*ROW(activ2),ROWS(activ2)-COUNTIF(activ2,$I$1)+ROW()-1)</f>
        <v>#NUM!</v>
      </c>
      <c r="J21" s="159" t="str">
        <f t="shared" ref="J21:J26" si="6">IF(ISERROR($H21),"",INDEX(B:B,$H21))</f>
        <v/>
      </c>
      <c r="K21" s="159" t="str">
        <f t="shared" ref="K21:K26" si="7">IF(ISERROR($H21),"",INDEX(C:C,$H21))</f>
        <v/>
      </c>
      <c r="L21" s="159" t="str">
        <f t="shared" ref="L21:L26" si="8">IF(ISERROR($H21),"",INDEX(D:D,$H21))</f>
        <v/>
      </c>
      <c r="M21" s="159" t="str">
        <f t="shared" ref="M21:M26" si="9">IF(ISERROR($H21),"",INDEX(E:E,$H21))</f>
        <v/>
      </c>
      <c r="N21" s="159" t="str">
        <f t="shared" ref="N21:N26" si="10">IF(ISERROR($H21),"",INDEX(F:F,$H21))</f>
        <v/>
      </c>
    </row>
    <row r="22" spans="1:14" x14ac:dyDescent="0.25">
      <c r="A22" t="str">
        <f>Formeln!A156</f>
        <v>non</v>
      </c>
      <c r="B22">
        <f>Formeln!B156</f>
        <v>0</v>
      </c>
      <c r="C22">
        <f>Formeln!C156</f>
        <v>0</v>
      </c>
      <c r="D22">
        <f>Formeln!D156</f>
        <v>0</v>
      </c>
      <c r="E22">
        <f>Formeln!E156</f>
        <v>0</v>
      </c>
      <c r="F22">
        <f>Formeln!F156</f>
        <v>0</v>
      </c>
      <c r="H22" s="13" t="e">
        <f t="array" ref="H22">SMALL((activ2=$I$1)*ROW(activ2),ROWS(activ2)-COUNTIF(activ2,$I$1)+ROW()-1)</f>
        <v>#NUM!</v>
      </c>
      <c r="J22" s="159" t="str">
        <f t="shared" si="6"/>
        <v/>
      </c>
      <c r="K22" s="159" t="str">
        <f t="shared" si="7"/>
        <v/>
      </c>
      <c r="L22" s="159" t="str">
        <f t="shared" si="8"/>
        <v/>
      </c>
      <c r="M22" s="159" t="str">
        <f t="shared" si="9"/>
        <v/>
      </c>
      <c r="N22" s="159" t="str">
        <f t="shared" si="10"/>
        <v/>
      </c>
    </row>
    <row r="23" spans="1:14" x14ac:dyDescent="0.25">
      <c r="A23" t="str">
        <f>Formeln!A157</f>
        <v>non</v>
      </c>
      <c r="B23" t="str">
        <f>Formeln!B157</f>
        <v>Dno 4A</v>
      </c>
      <c r="C23">
        <f>Formeln!C157</f>
        <v>0</v>
      </c>
      <c r="D23">
        <f>Formeln!D157</f>
        <v>543</v>
      </c>
      <c r="E23">
        <f>Formeln!E157</f>
        <v>16</v>
      </c>
      <c r="F23">
        <f>Formeln!F157</f>
        <v>1</v>
      </c>
      <c r="H23" s="13" t="e">
        <f t="array" ref="H23">SMALL((activ2=$I$1)*ROW(activ2),ROWS(activ2)-COUNTIF(activ2,$I$1)+ROW()-1)</f>
        <v>#NUM!</v>
      </c>
      <c r="J23" s="159" t="str">
        <f t="shared" si="6"/>
        <v/>
      </c>
      <c r="K23" s="159" t="str">
        <f t="shared" si="7"/>
        <v/>
      </c>
      <c r="L23" s="159" t="str">
        <f t="shared" si="8"/>
        <v/>
      </c>
      <c r="M23" s="159" t="str">
        <f t="shared" si="9"/>
        <v/>
      </c>
      <c r="N23" s="159" t="str">
        <f t="shared" si="10"/>
        <v/>
      </c>
    </row>
    <row r="24" spans="1:14" x14ac:dyDescent="0.25">
      <c r="A24" t="str">
        <f>Formeln!A158</f>
        <v>non</v>
      </c>
      <c r="B24" t="str">
        <f>Formeln!B158</f>
        <v>Plecy 4A</v>
      </c>
      <c r="C24">
        <f>Formeln!C158</f>
        <v>0</v>
      </c>
      <c r="D24">
        <f>Formeln!D158</f>
        <v>522</v>
      </c>
      <c r="E24">
        <f>Formeln!E158</f>
        <v>16</v>
      </c>
      <c r="F24">
        <f>Formeln!F158</f>
        <v>1</v>
      </c>
      <c r="H24" s="13" t="e">
        <f t="array" ref="H24">SMALL((activ2=$I$1)*ROW(activ2),ROWS(activ2)-COUNTIF(activ2,$I$1)+ROW()-1)</f>
        <v>#NUM!</v>
      </c>
      <c r="J24" s="159" t="str">
        <f t="shared" si="6"/>
        <v/>
      </c>
      <c r="K24" s="159" t="str">
        <f t="shared" si="7"/>
        <v/>
      </c>
      <c r="L24" s="159" t="str">
        <f t="shared" si="8"/>
        <v/>
      </c>
      <c r="M24" s="159" t="str">
        <f t="shared" si="9"/>
        <v/>
      </c>
      <c r="N24" s="159" t="str">
        <f t="shared" si="10"/>
        <v/>
      </c>
    </row>
    <row r="25" spans="1:14" x14ac:dyDescent="0.25">
      <c r="A25" t="str">
        <f>Formeln!A159</f>
        <v>non</v>
      </c>
      <c r="B25" t="str">
        <f>Formeln!B159</f>
        <v>Dno 4B</v>
      </c>
      <c r="C25">
        <f>Formeln!C159</f>
        <v>0</v>
      </c>
      <c r="D25">
        <f>Formeln!D159</f>
        <v>543</v>
      </c>
      <c r="E25">
        <f>Formeln!E159</f>
        <v>16</v>
      </c>
      <c r="F25">
        <f>Formeln!F159</f>
        <v>1</v>
      </c>
      <c r="H25" s="13" t="e">
        <f t="array" ref="H25">SMALL((activ2=$I$1)*ROW(activ2),ROWS(activ2)-COUNTIF(activ2,$I$1)+ROW()-1)</f>
        <v>#NUM!</v>
      </c>
      <c r="J25" s="159" t="str">
        <f t="shared" si="6"/>
        <v/>
      </c>
      <c r="K25" s="159" t="str">
        <f t="shared" si="7"/>
        <v/>
      </c>
      <c r="L25" s="159" t="str">
        <f t="shared" si="8"/>
        <v/>
      </c>
      <c r="M25" s="159" t="str">
        <f t="shared" si="9"/>
        <v/>
      </c>
      <c r="N25" s="159" t="str">
        <f t="shared" si="10"/>
        <v/>
      </c>
    </row>
    <row r="26" spans="1:14" x14ac:dyDescent="0.25">
      <c r="A26" t="str">
        <f>Formeln!A160</f>
        <v>non</v>
      </c>
      <c r="B26" t="str">
        <f>Formeln!B160</f>
        <v>Plecy 4B</v>
      </c>
      <c r="C26">
        <f>Formeln!C160</f>
        <v>0</v>
      </c>
      <c r="D26">
        <f>Formeln!D160</f>
        <v>522</v>
      </c>
      <c r="E26">
        <f>Formeln!E160</f>
        <v>16</v>
      </c>
      <c r="F26">
        <f>Formeln!F160</f>
        <v>1</v>
      </c>
      <c r="H26" s="13" t="e">
        <f t="array" ref="H26">SMALL((activ2=$I$1)*ROW(activ2),ROWS(activ2)-COUNTIF(activ2,$I$1)+ROW()-1)</f>
        <v>#NUM!</v>
      </c>
      <c r="J26" s="159" t="str">
        <f t="shared" si="6"/>
        <v/>
      </c>
      <c r="K26" s="159" t="str">
        <f t="shared" si="7"/>
        <v/>
      </c>
      <c r="L26" s="159" t="str">
        <f t="shared" si="8"/>
        <v/>
      </c>
      <c r="M26" s="159" t="str">
        <f t="shared" si="9"/>
        <v/>
      </c>
      <c r="N26" s="159" t="str">
        <f t="shared" si="10"/>
        <v/>
      </c>
    </row>
  </sheetData>
  <dataValidations count="1">
    <dataValidation type="list" allowBlank="1" showInputMessage="1" showErrorMessage="1" sqref="I1">
      <formula1>"ok,non"</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B1:O20"/>
  <sheetViews>
    <sheetView showGridLines="0" showRowColHeaders="0" tabSelected="1" topLeftCell="A7" zoomScaleNormal="100" workbookViewId="0">
      <selection activeCell="D24" sqref="D24"/>
    </sheetView>
  </sheetViews>
  <sheetFormatPr defaultColWidth="11.42578125" defaultRowHeight="15" x14ac:dyDescent="0.25"/>
  <cols>
    <col min="1" max="1" width="3" style="51" customWidth="1"/>
    <col min="2" max="4" width="11.42578125" style="51"/>
    <col min="5" max="5" width="7.85546875" style="51" customWidth="1"/>
    <col min="6" max="8" width="11.42578125" style="51"/>
    <col min="9" max="9" width="7.85546875" style="51" customWidth="1"/>
    <col min="10" max="10" width="11.42578125" style="51"/>
    <col min="11" max="11" width="11.42578125" style="51" customWidth="1"/>
    <col min="12" max="12" width="11.28515625" style="51" customWidth="1"/>
    <col min="13" max="13" width="7.5703125" style="51" customWidth="1"/>
    <col min="14" max="14" width="1.28515625" style="51" customWidth="1"/>
    <col min="15" max="16384" width="11.42578125" style="51"/>
  </cols>
  <sheetData>
    <row r="1" spans="2:15" ht="7.5" customHeight="1" x14ac:dyDescent="0.25"/>
    <row r="2" spans="2:15" ht="81.75" customHeight="1" x14ac:dyDescent="0.25"/>
    <row r="3" spans="2:15" x14ac:dyDescent="0.25">
      <c r="L3" s="108" t="s">
        <v>976</v>
      </c>
    </row>
    <row r="4" spans="2:15" x14ac:dyDescent="0.25">
      <c r="M4" s="108"/>
      <c r="N4" s="108"/>
    </row>
    <row r="5" spans="2:15" x14ac:dyDescent="0.25">
      <c r="M5" s="108"/>
      <c r="N5" s="108"/>
    </row>
    <row r="6" spans="2:15" x14ac:dyDescent="0.25">
      <c r="B6" s="111" t="s">
        <v>52</v>
      </c>
      <c r="L6" s="109"/>
      <c r="M6" s="109"/>
    </row>
    <row r="7" spans="2:15" ht="15.75" thickBot="1" x14ac:dyDescent="0.3">
      <c r="B7" s="107"/>
      <c r="C7" s="107"/>
      <c r="D7" s="107"/>
      <c r="E7" s="107"/>
      <c r="F7" s="107"/>
      <c r="G7" s="107"/>
      <c r="H7" s="107"/>
      <c r="I7" s="107"/>
      <c r="J7" s="107"/>
      <c r="K7" s="107"/>
      <c r="L7" s="107"/>
      <c r="M7" s="109"/>
      <c r="N7" s="109"/>
      <c r="O7" s="109"/>
    </row>
    <row r="8" spans="2:15" x14ac:dyDescent="0.25">
      <c r="L8" s="109"/>
      <c r="M8" s="109"/>
      <c r="N8" s="109"/>
      <c r="O8" s="109"/>
    </row>
    <row r="9" spans="2:15" ht="114" customHeight="1" x14ac:dyDescent="0.25">
      <c r="H9" s="109"/>
      <c r="M9" s="109"/>
      <c r="N9" s="109"/>
      <c r="O9" s="109"/>
    </row>
    <row r="10" spans="2:15" x14ac:dyDescent="0.25">
      <c r="B10" s="241" t="s">
        <v>786</v>
      </c>
      <c r="C10" s="240"/>
      <c r="D10" s="240"/>
      <c r="F10" s="240" t="s">
        <v>783</v>
      </c>
      <c r="G10" s="240"/>
      <c r="H10" s="240"/>
    </row>
    <row r="11" spans="2:15" ht="47.25" customHeight="1" x14ac:dyDescent="0.25">
      <c r="B11" s="238" t="str">
        <f>HLOOKUP(VIONARO!I4,'SPRACHE TITEL'!D:N,6,FALSE)</f>
        <v>Kubistyczna forma szuflad oraz sprawdzone prowadnice Dynapro to idealne połączenie elegancji i niezawodności.</v>
      </c>
      <c r="C11" s="238"/>
      <c r="D11" s="238"/>
      <c r="F11" s="242" t="str">
        <f>HLOOKUP(VIONARO!I4,'SPRACHE TITEL'!D:N,5,FALSE)</f>
        <v>Nowa generacja szuflad. Zainspirowana prostotą i zachowaniem kątów prostych.</v>
      </c>
      <c r="G11" s="242"/>
      <c r="H11" s="242"/>
    </row>
    <row r="12" spans="2:15" ht="15.75" thickBot="1" x14ac:dyDescent="0.3">
      <c r="B12" s="107"/>
      <c r="C12" s="107"/>
      <c r="D12" s="107"/>
      <c r="E12" s="107"/>
      <c r="F12" s="107"/>
      <c r="G12" s="107"/>
      <c r="H12" s="107"/>
      <c r="I12" s="107"/>
      <c r="J12" s="107"/>
      <c r="K12" s="107"/>
      <c r="L12" s="107"/>
    </row>
    <row r="14" spans="2:15" ht="15" customHeight="1" x14ac:dyDescent="0.25">
      <c r="B14" s="239" t="str">
        <f>HLOOKUP(VIONARO!I4,'SPRACHE TITEL'!D:N,2,FALSE)</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C14" s="239"/>
      <c r="D14" s="239"/>
      <c r="E14" s="239"/>
      <c r="F14" s="239"/>
      <c r="G14" s="239"/>
      <c r="H14" s="239"/>
      <c r="I14" s="239"/>
      <c r="J14" s="239"/>
      <c r="K14" s="239"/>
      <c r="L14" s="239"/>
    </row>
    <row r="15" spans="2:15" x14ac:dyDescent="0.25">
      <c r="B15" s="239"/>
      <c r="C15" s="239"/>
      <c r="D15" s="239"/>
      <c r="E15" s="239"/>
      <c r="F15" s="239"/>
      <c r="G15" s="239"/>
      <c r="H15" s="239"/>
      <c r="I15" s="239"/>
      <c r="J15" s="239"/>
      <c r="K15" s="239"/>
      <c r="L15" s="239"/>
    </row>
    <row r="16" spans="2:15" x14ac:dyDescent="0.25">
      <c r="B16" s="239"/>
      <c r="C16" s="239"/>
      <c r="D16" s="239"/>
      <c r="E16" s="239"/>
      <c r="F16" s="239"/>
      <c r="G16" s="239"/>
      <c r="H16" s="239"/>
      <c r="I16" s="239"/>
      <c r="J16" s="239"/>
      <c r="K16" s="239"/>
      <c r="L16" s="239"/>
    </row>
    <row r="17" spans="2:12" x14ac:dyDescent="0.25">
      <c r="B17" s="239"/>
      <c r="C17" s="239"/>
      <c r="D17" s="239"/>
      <c r="E17" s="239"/>
      <c r="F17" s="239"/>
      <c r="G17" s="239"/>
      <c r="H17" s="239"/>
      <c r="I17" s="239"/>
      <c r="J17" s="239"/>
      <c r="K17" s="239"/>
      <c r="L17" s="239"/>
    </row>
    <row r="19" spans="2:12" ht="18.75" x14ac:dyDescent="0.3">
      <c r="L19" s="113"/>
    </row>
    <row r="20" spans="2:12" x14ac:dyDescent="0.25">
      <c r="D20" s="110"/>
    </row>
  </sheetData>
  <sheetProtection password="ED45" sheet="1" objects="1" scenarios="1" selectLockedCells="1"/>
  <mergeCells count="5">
    <mergeCell ref="B11:D11"/>
    <mergeCell ref="B14:L17"/>
    <mergeCell ref="F10:H10"/>
    <mergeCell ref="B10:D10"/>
    <mergeCell ref="F11:H11"/>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Drop Down 2">
              <controlPr defaultSize="0" autoLine="0" autoPict="0">
                <anchor moveWithCells="1">
                  <from>
                    <xdr:col>2</xdr:col>
                    <xdr:colOff>28575</xdr:colOff>
                    <xdr:row>5</xdr:row>
                    <xdr:rowOff>9525</xdr:rowOff>
                  </from>
                  <to>
                    <xdr:col>2</xdr:col>
                    <xdr:colOff>752475</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B1:AI48"/>
  <sheetViews>
    <sheetView showGridLines="0" showRowColHeaders="0" topLeftCell="A5" zoomScale="80" zoomScaleNormal="80" workbookViewId="0">
      <selection activeCell="P16" sqref="P16:Q16"/>
    </sheetView>
  </sheetViews>
  <sheetFormatPr defaultColWidth="3.7109375" defaultRowHeight="15" x14ac:dyDescent="0.25"/>
  <cols>
    <col min="1" max="16384" width="3.7109375" style="51"/>
  </cols>
  <sheetData>
    <row r="1" spans="2:33" ht="15" customHeight="1" x14ac:dyDescent="0.25"/>
    <row r="2" spans="2:33" ht="81.75" customHeight="1" x14ac:dyDescent="0.25"/>
    <row r="3" spans="2:33" x14ac:dyDescent="0.25">
      <c r="AG3" s="108" t="str">
        <f>START!L3</f>
        <v>V3.4</v>
      </c>
    </row>
    <row r="5" spans="2:33" x14ac:dyDescent="0.25">
      <c r="AC5" s="243" t="str">
        <f>HLOOKUP(VIONARO!I4,Sprachen!A2:K43,32,FALSE)</f>
        <v>Powrót</v>
      </c>
      <c r="AD5" s="243"/>
      <c r="AE5" s="243"/>
      <c r="AF5" s="243"/>
      <c r="AG5" s="243"/>
    </row>
    <row r="6" spans="2:33" ht="15.75" thickBot="1" x14ac:dyDescent="0.3">
      <c r="B6" s="107" t="str">
        <f>VIONARO!G27</f>
        <v>Wszystkie wymiary w mm</v>
      </c>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row>
    <row r="14" spans="2:33" x14ac:dyDescent="0.25">
      <c r="B14" s="248" t="str">
        <f>VIONARO!G7</f>
        <v>Szerokość korpusu</v>
      </c>
      <c r="C14" s="248"/>
      <c r="D14" s="248"/>
      <c r="E14" s="248"/>
      <c r="F14" s="248"/>
      <c r="G14" s="248"/>
      <c r="H14" s="248"/>
      <c r="I14" s="248"/>
      <c r="M14" s="248" t="str">
        <f>VIONARO!G8</f>
        <v>Głębokość wewn. korpusu</v>
      </c>
      <c r="N14" s="248"/>
      <c r="O14" s="248"/>
      <c r="P14" s="248"/>
      <c r="Q14" s="248"/>
      <c r="R14" s="248"/>
      <c r="S14" s="248"/>
      <c r="T14" s="248"/>
      <c r="Z14" s="248" t="str">
        <f>VIONARO!G6</f>
        <v>Grubość ścianki korpusu</v>
      </c>
      <c r="AA14" s="248"/>
      <c r="AB14" s="248"/>
      <c r="AC14" s="248"/>
      <c r="AD14" s="248"/>
      <c r="AE14" s="248"/>
      <c r="AF14" s="248"/>
      <c r="AG14" s="248"/>
    </row>
    <row r="15" spans="2:33" ht="6.75" customHeight="1" x14ac:dyDescent="0.25"/>
    <row r="16" spans="2:33" x14ac:dyDescent="0.25">
      <c r="B16" s="246" t="s">
        <v>960</v>
      </c>
      <c r="C16" s="246"/>
      <c r="D16" s="246"/>
      <c r="E16" s="245">
        <v>600</v>
      </c>
      <c r="F16" s="245"/>
      <c r="G16" s="247" t="s">
        <v>961</v>
      </c>
      <c r="H16" s="247"/>
      <c r="I16" s="247"/>
      <c r="M16" s="246" t="s">
        <v>962</v>
      </c>
      <c r="N16" s="246"/>
      <c r="O16" s="246"/>
      <c r="P16" s="245">
        <v>508</v>
      </c>
      <c r="Q16" s="245"/>
      <c r="R16" s="247" t="s">
        <v>961</v>
      </c>
      <c r="S16" s="247"/>
      <c r="T16" s="247"/>
      <c r="Z16" s="250"/>
      <c r="AA16" s="250"/>
      <c r="AB16" s="250"/>
      <c r="AC16" s="250"/>
      <c r="AD16" s="250"/>
      <c r="AE16" s="250"/>
      <c r="AF16" s="250"/>
      <c r="AG16" s="250"/>
    </row>
    <row r="17" spans="2:35" x14ac:dyDescent="0.25">
      <c r="M17" s="244"/>
      <c r="N17" s="244"/>
      <c r="O17" s="244"/>
      <c r="P17" s="244"/>
      <c r="Q17" s="244"/>
      <c r="R17" s="244"/>
      <c r="S17" s="244"/>
      <c r="T17" s="244"/>
    </row>
    <row r="19" spans="2:35" x14ac:dyDescent="0.25">
      <c r="B19" s="248" t="str">
        <f>VIONARO!G9</f>
        <v>Wybór koloru</v>
      </c>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row>
    <row r="26" spans="2:35" x14ac:dyDescent="0.25">
      <c r="B26" s="241" t="str">
        <f>IF(VIONARO!I4="PL","SZARY","SILVER GREY")</f>
        <v>SZARY</v>
      </c>
      <c r="C26" s="240"/>
      <c r="D26" s="240"/>
      <c r="E26" s="240"/>
      <c r="F26" s="240"/>
      <c r="G26" s="240"/>
      <c r="H26" s="240"/>
      <c r="K26" s="241" t="str">
        <f>IF(VIONARO!I4="PL","GRAFIT","GRAPHITE")</f>
        <v>GRAFIT</v>
      </c>
      <c r="L26" s="240"/>
      <c r="M26" s="240"/>
      <c r="N26" s="240"/>
      <c r="O26" s="240"/>
      <c r="P26" s="240"/>
      <c r="Q26" s="240"/>
      <c r="S26" s="241" t="str">
        <f>IF(VIONARO!I4="PL","BIAŁY","SNOW WHITE")</f>
        <v>BIAŁY</v>
      </c>
      <c r="T26" s="240"/>
      <c r="U26" s="240"/>
      <c r="V26" s="240"/>
      <c r="W26" s="240"/>
      <c r="X26" s="240"/>
      <c r="Y26" s="240"/>
      <c r="AB26" s="235"/>
      <c r="AC26" s="249" t="str">
        <f>IF(VIONARO!I4="PL","ZŁOTY BRĄZ (NIEDOSTĘPNY)","GOLDEN BROWN")</f>
        <v>ZŁOTY BRĄZ (NIEDOSTĘPNY)</v>
      </c>
      <c r="AD26" s="249"/>
      <c r="AE26" s="249"/>
      <c r="AF26" s="249"/>
      <c r="AG26" s="249"/>
      <c r="AH26" s="234"/>
      <c r="AI26" s="234"/>
    </row>
    <row r="27" spans="2:35" x14ac:dyDescent="0.25">
      <c r="AC27" s="249"/>
      <c r="AD27" s="249"/>
      <c r="AE27" s="249"/>
      <c r="AF27" s="249"/>
      <c r="AG27" s="249"/>
    </row>
    <row r="34" spans="2:33" x14ac:dyDescent="0.25">
      <c r="C34" s="235"/>
      <c r="D34" s="249" t="str">
        <f>IF(VIONARO!I4="PL","ALUMINIUM (NIEDOSTĘPNY)","ALUMINIUM NATUR")</f>
        <v>ALUMINIUM (NIEDOSTĘPNY)</v>
      </c>
      <c r="E34" s="249"/>
      <c r="F34" s="249"/>
      <c r="G34" s="249"/>
      <c r="H34" s="249"/>
      <c r="M34" s="114"/>
    </row>
    <row r="35" spans="2:33" x14ac:dyDescent="0.25">
      <c r="D35" s="249"/>
      <c r="E35" s="249"/>
      <c r="F35" s="249"/>
      <c r="G35" s="249"/>
      <c r="H35" s="249"/>
    </row>
    <row r="36" spans="2:33" x14ac:dyDescent="0.25">
      <c r="B36" s="248" t="str">
        <f>VIONARO!G10</f>
        <v>Ilość frontów</v>
      </c>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row>
    <row r="46" spans="2:33" ht="15.75" thickBot="1" x14ac:dyDescent="0.3">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8" spans="2:33" x14ac:dyDescent="0.25">
      <c r="AC48" s="243" t="str">
        <f>HLOOKUP(VIONARO!I4,Sprachen!A2:K46,45,FALSE)</f>
        <v>Dalej</v>
      </c>
      <c r="AD48" s="243"/>
      <c r="AE48" s="243"/>
      <c r="AF48" s="243"/>
      <c r="AG48" s="243"/>
    </row>
  </sheetData>
  <sheetProtection password="ED45" sheet="1" objects="1" scenarios="1" selectLockedCells="1"/>
  <mergeCells count="20">
    <mergeCell ref="AC5:AG5"/>
    <mergeCell ref="M14:T14"/>
    <mergeCell ref="Z14:AG14"/>
    <mergeCell ref="Z16:AG16"/>
    <mergeCell ref="E16:F16"/>
    <mergeCell ref="G16:I16"/>
    <mergeCell ref="B14:I14"/>
    <mergeCell ref="AC48:AG48"/>
    <mergeCell ref="M17:T17"/>
    <mergeCell ref="P16:Q16"/>
    <mergeCell ref="M16:O16"/>
    <mergeCell ref="R16:T16"/>
    <mergeCell ref="B36:AG36"/>
    <mergeCell ref="B16:D16"/>
    <mergeCell ref="B19:AG19"/>
    <mergeCell ref="B26:H26"/>
    <mergeCell ref="K26:Q26"/>
    <mergeCell ref="S26:Y26"/>
    <mergeCell ref="AC26:AG27"/>
    <mergeCell ref="D34:H35"/>
  </mergeCells>
  <conditionalFormatting sqref="B14">
    <cfRule type="expression" dxfId="53" priority="6">
      <formula>$K$13&lt;&gt;""</formula>
    </cfRule>
  </conditionalFormatting>
  <conditionalFormatting sqref="M14">
    <cfRule type="expression" dxfId="52" priority="5">
      <formula>$K$13&lt;&gt;""</formula>
    </cfRule>
  </conditionalFormatting>
  <conditionalFormatting sqref="Z14">
    <cfRule type="expression" dxfId="51" priority="4">
      <formula>$K$13&lt;&gt;""</formula>
    </cfRule>
  </conditionalFormatting>
  <conditionalFormatting sqref="B19">
    <cfRule type="expression" dxfId="50" priority="3">
      <formula>$K$13&lt;&gt;""</formula>
    </cfRule>
  </conditionalFormatting>
  <conditionalFormatting sqref="B36">
    <cfRule type="expression" dxfId="49" priority="1">
      <formula>$K$13&lt;&gt;""</formula>
    </cfRule>
  </conditionalFormatting>
  <dataValidations count="2">
    <dataValidation type="whole" allowBlank="1" showInputMessage="1" showErrorMessage="1" errorTitle="Nicht möglich! / Invalid value!" error="186 - 1500 mm" sqref="E16:F16">
      <formula1>200</formula1>
      <formula2>1500</formula2>
    </dataValidation>
    <dataValidation type="whole" allowBlank="1" showInputMessage="1" showErrorMessage="1" errorTitle="Nicht möglich! / Invalid value!" error="273 - 1500 mm" sqref="P16">
      <formula1>273</formula1>
      <formula2>1500</formula2>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6" r:id="rId4" name="Option Button 10">
              <controlPr defaultSize="0" autoFill="0" autoLine="0" autoPict="0">
                <anchor moveWithCells="1">
                  <from>
                    <xdr:col>2</xdr:col>
                    <xdr:colOff>28575</xdr:colOff>
                    <xdr:row>24</xdr:row>
                    <xdr:rowOff>66675</xdr:rowOff>
                  </from>
                  <to>
                    <xdr:col>4</xdr:col>
                    <xdr:colOff>66675</xdr:colOff>
                    <xdr:row>26</xdr:row>
                    <xdr:rowOff>152400</xdr:rowOff>
                  </to>
                </anchor>
              </controlPr>
            </control>
          </mc:Choice>
        </mc:AlternateContent>
        <mc:AlternateContent xmlns:mc="http://schemas.openxmlformats.org/markup-compatibility/2006">
          <mc:Choice Requires="x14">
            <control shapeId="14348" r:id="rId5" name="Option Button 12">
              <controlPr defaultSize="0" autoFill="0" autoLine="0" autoPict="0">
                <anchor moveWithCells="1">
                  <from>
                    <xdr:col>11</xdr:col>
                    <xdr:colOff>104775</xdr:colOff>
                    <xdr:row>24</xdr:row>
                    <xdr:rowOff>57150</xdr:rowOff>
                  </from>
                  <to>
                    <xdr:col>13</xdr:col>
                    <xdr:colOff>142875</xdr:colOff>
                    <xdr:row>26</xdr:row>
                    <xdr:rowOff>142875</xdr:rowOff>
                  </to>
                </anchor>
              </controlPr>
            </control>
          </mc:Choice>
        </mc:AlternateContent>
        <mc:AlternateContent xmlns:mc="http://schemas.openxmlformats.org/markup-compatibility/2006">
          <mc:Choice Requires="x14">
            <control shapeId="14349" r:id="rId6" name="Option Button 13">
              <controlPr defaultSize="0" autoFill="0" autoLine="0" autoPict="0">
                <anchor moveWithCells="1">
                  <from>
                    <xdr:col>18</xdr:col>
                    <xdr:colOff>238125</xdr:colOff>
                    <xdr:row>24</xdr:row>
                    <xdr:rowOff>180975</xdr:rowOff>
                  </from>
                  <to>
                    <xdr:col>21</xdr:col>
                    <xdr:colOff>28575</xdr:colOff>
                    <xdr:row>26</xdr:row>
                    <xdr:rowOff>47625</xdr:rowOff>
                  </to>
                </anchor>
              </controlPr>
            </control>
          </mc:Choice>
        </mc:AlternateContent>
        <mc:AlternateContent xmlns:mc="http://schemas.openxmlformats.org/markup-compatibility/2006">
          <mc:Choice Requires="x14">
            <control shapeId="14351" r:id="rId7" name="Option Button 15">
              <controlPr defaultSize="0" autoFill="0" autoLine="0" autoPict="0">
                <anchor moveWithCells="1">
                  <from>
                    <xdr:col>26</xdr:col>
                    <xdr:colOff>142875</xdr:colOff>
                    <xdr:row>24</xdr:row>
                    <xdr:rowOff>171450</xdr:rowOff>
                  </from>
                  <to>
                    <xdr:col>28</xdr:col>
                    <xdr:colOff>180975</xdr:colOff>
                    <xdr:row>26</xdr:row>
                    <xdr:rowOff>38100</xdr:rowOff>
                  </to>
                </anchor>
              </controlPr>
            </control>
          </mc:Choice>
        </mc:AlternateContent>
        <mc:AlternateContent xmlns:mc="http://schemas.openxmlformats.org/markup-compatibility/2006">
          <mc:Choice Requires="x14">
            <control shapeId="14352" r:id="rId8" name="Option Button 16">
              <controlPr defaultSize="0" autoFill="0" autoLine="0" autoPict="0">
                <anchor moveWithCells="1">
                  <from>
                    <xdr:col>1</xdr:col>
                    <xdr:colOff>142875</xdr:colOff>
                    <xdr:row>32</xdr:row>
                    <xdr:rowOff>171450</xdr:rowOff>
                  </from>
                  <to>
                    <xdr:col>3</xdr:col>
                    <xdr:colOff>180975</xdr:colOff>
                    <xdr:row>34</xdr:row>
                    <xdr:rowOff>38100</xdr:rowOff>
                  </to>
                </anchor>
              </controlPr>
            </control>
          </mc:Choice>
        </mc:AlternateContent>
        <mc:AlternateContent xmlns:mc="http://schemas.openxmlformats.org/markup-compatibility/2006">
          <mc:Choice Requires="x14">
            <control shapeId="14357" r:id="rId9" name="Option Button 21">
              <controlPr defaultSize="0" autoFill="0" autoLine="0" autoPict="0">
                <anchor moveWithCells="1">
                  <from>
                    <xdr:col>4</xdr:col>
                    <xdr:colOff>104775</xdr:colOff>
                    <xdr:row>43</xdr:row>
                    <xdr:rowOff>28575</xdr:rowOff>
                  </from>
                  <to>
                    <xdr:col>5</xdr:col>
                    <xdr:colOff>190500</xdr:colOff>
                    <xdr:row>45</xdr:row>
                    <xdr:rowOff>47625</xdr:rowOff>
                  </to>
                </anchor>
              </controlPr>
            </control>
          </mc:Choice>
        </mc:AlternateContent>
        <mc:AlternateContent xmlns:mc="http://schemas.openxmlformats.org/markup-compatibility/2006">
          <mc:Choice Requires="x14">
            <control shapeId="14358" r:id="rId10" name="Option Button 22">
              <controlPr defaultSize="0" autoFill="0" autoLine="0" autoPict="0">
                <anchor moveWithCells="1">
                  <from>
                    <xdr:col>12</xdr:col>
                    <xdr:colOff>190500</xdr:colOff>
                    <xdr:row>43</xdr:row>
                    <xdr:rowOff>28575</xdr:rowOff>
                  </from>
                  <to>
                    <xdr:col>14</xdr:col>
                    <xdr:colOff>28575</xdr:colOff>
                    <xdr:row>45</xdr:row>
                    <xdr:rowOff>47625</xdr:rowOff>
                  </to>
                </anchor>
              </controlPr>
            </control>
          </mc:Choice>
        </mc:AlternateContent>
        <mc:AlternateContent xmlns:mc="http://schemas.openxmlformats.org/markup-compatibility/2006">
          <mc:Choice Requires="x14">
            <control shapeId="14359" r:id="rId11" name="Option Button 23">
              <controlPr defaultSize="0" autoFill="0" autoLine="0" autoPict="0">
                <anchor moveWithCells="1">
                  <from>
                    <xdr:col>21</xdr:col>
                    <xdr:colOff>123825</xdr:colOff>
                    <xdr:row>43</xdr:row>
                    <xdr:rowOff>38100</xdr:rowOff>
                  </from>
                  <to>
                    <xdr:col>22</xdr:col>
                    <xdr:colOff>209550</xdr:colOff>
                    <xdr:row>45</xdr:row>
                    <xdr:rowOff>57150</xdr:rowOff>
                  </to>
                </anchor>
              </controlPr>
            </control>
          </mc:Choice>
        </mc:AlternateContent>
        <mc:AlternateContent xmlns:mc="http://schemas.openxmlformats.org/markup-compatibility/2006">
          <mc:Choice Requires="x14">
            <control shapeId="14360" r:id="rId12" name="Option Button 24">
              <controlPr defaultSize="0" autoFill="0" autoLine="0" autoPict="0">
                <anchor moveWithCells="1">
                  <from>
                    <xdr:col>30</xdr:col>
                    <xdr:colOff>9525</xdr:colOff>
                    <xdr:row>43</xdr:row>
                    <xdr:rowOff>38100</xdr:rowOff>
                  </from>
                  <to>
                    <xdr:col>31</xdr:col>
                    <xdr:colOff>95250</xdr:colOff>
                    <xdr:row>45</xdr:row>
                    <xdr:rowOff>57150</xdr:rowOff>
                  </to>
                </anchor>
              </controlPr>
            </control>
          </mc:Choice>
        </mc:AlternateContent>
        <mc:AlternateContent xmlns:mc="http://schemas.openxmlformats.org/markup-compatibility/2006">
          <mc:Choice Requires="x14">
            <control shapeId="14361" r:id="rId13" name="Group Box 25">
              <controlPr defaultSize="0" autoFill="0" autoPict="0">
                <anchor moveWithCells="1">
                  <from>
                    <xdr:col>1</xdr:col>
                    <xdr:colOff>0</xdr:colOff>
                    <xdr:row>17</xdr:row>
                    <xdr:rowOff>180975</xdr:rowOff>
                  </from>
                  <to>
                    <xdr:col>32</xdr:col>
                    <xdr:colOff>238125</xdr:colOff>
                    <xdr:row>34</xdr:row>
                    <xdr:rowOff>19050</xdr:rowOff>
                  </to>
                </anchor>
              </controlPr>
            </control>
          </mc:Choice>
        </mc:AlternateContent>
        <mc:AlternateContent xmlns:mc="http://schemas.openxmlformats.org/markup-compatibility/2006">
          <mc:Choice Requires="x14">
            <control shapeId="14362" r:id="rId14" name="Drop Down 26">
              <controlPr defaultSize="0" autoLine="0" autoPict="0">
                <anchor moveWithCells="1">
                  <from>
                    <xdr:col>24</xdr:col>
                    <xdr:colOff>238125</xdr:colOff>
                    <xdr:row>15</xdr:row>
                    <xdr:rowOff>9525</xdr:rowOff>
                  </from>
                  <to>
                    <xdr:col>32</xdr:col>
                    <xdr:colOff>238125</xdr:colOff>
                    <xdr:row>16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B1:AG47"/>
  <sheetViews>
    <sheetView showGridLines="0" showRowColHeaders="0" topLeftCell="B1" zoomScaleNormal="100" workbookViewId="0">
      <selection activeCell="AC23" sqref="AC23:AD23"/>
    </sheetView>
  </sheetViews>
  <sheetFormatPr defaultColWidth="3.7109375" defaultRowHeight="15" x14ac:dyDescent="0.25"/>
  <cols>
    <col min="1" max="16384" width="3.7109375" style="51"/>
  </cols>
  <sheetData>
    <row r="1" spans="2:33" ht="15" customHeight="1" x14ac:dyDescent="0.25"/>
    <row r="2" spans="2:33" ht="81.75" customHeight="1" x14ac:dyDescent="0.25"/>
    <row r="3" spans="2:33" x14ac:dyDescent="0.25">
      <c r="AG3" s="108" t="str">
        <f>START!L3</f>
        <v>V3.4</v>
      </c>
    </row>
    <row r="5" spans="2:33" x14ac:dyDescent="0.25">
      <c r="AC5" s="243" t="str">
        <f>HLOOKUP(VIONARO!I4,Sprachen!A2:K43,32,FALSE)</f>
        <v>Powrót</v>
      </c>
      <c r="AD5" s="243"/>
      <c r="AE5" s="243"/>
      <c r="AF5" s="243"/>
      <c r="AG5" s="243"/>
    </row>
    <row r="6" spans="2:33" ht="15.75" thickBot="1" x14ac:dyDescent="0.3">
      <c r="B6" s="107" t="str">
        <f>VIONARO!G27</f>
        <v>Wszystkie wymiary w mm</v>
      </c>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row>
    <row r="8" spans="2:33" x14ac:dyDescent="0.25">
      <c r="B8" s="115"/>
      <c r="Z8" s="115"/>
    </row>
    <row r="12" spans="2:33" x14ac:dyDescent="0.25">
      <c r="O12" s="115"/>
    </row>
    <row r="13" spans="2:33" x14ac:dyDescent="0.25">
      <c r="B13" s="248" t="str">
        <f>HLOOKUP(VIONARO!I4,Sprachen!A2:K51,50,FALSE)</f>
        <v>Szczelina dolna</v>
      </c>
      <c r="C13" s="248"/>
      <c r="D13" s="248"/>
      <c r="E13" s="248"/>
      <c r="F13" s="248"/>
      <c r="G13" s="248"/>
      <c r="H13" s="248"/>
      <c r="I13" s="248"/>
      <c r="Z13" s="248" t="str">
        <f>HLOOKUP(VIONARO!I4,Sprachen!A2:K52,51,FALSE)</f>
        <v>Szczelina górna</v>
      </c>
      <c r="AA13" s="248"/>
      <c r="AB13" s="248"/>
      <c r="AC13" s="248"/>
      <c r="AD13" s="248"/>
      <c r="AE13" s="248"/>
      <c r="AF13" s="248"/>
      <c r="AG13" s="248"/>
    </row>
    <row r="14" spans="2:33" x14ac:dyDescent="0.25">
      <c r="B14" s="246" t="s">
        <v>963</v>
      </c>
      <c r="C14" s="246"/>
      <c r="D14" s="246"/>
      <c r="E14" s="245">
        <v>2</v>
      </c>
      <c r="F14" s="245"/>
      <c r="G14" s="247" t="s">
        <v>964</v>
      </c>
      <c r="H14" s="247"/>
      <c r="I14" s="247"/>
      <c r="Z14" s="246" t="s">
        <v>963</v>
      </c>
      <c r="AA14" s="246"/>
      <c r="AB14" s="246"/>
      <c r="AC14" s="245">
        <v>2</v>
      </c>
      <c r="AD14" s="245"/>
      <c r="AE14" s="247" t="s">
        <v>964</v>
      </c>
      <c r="AF14" s="247"/>
      <c r="AG14" s="247"/>
    </row>
    <row r="17" spans="2:33" x14ac:dyDescent="0.25">
      <c r="O17" s="248" t="str">
        <f>HLOOKUP(VIONARO!I4,Sprachen!A2:K43,7,FALSE)</f>
        <v>Szczelina pośrednia</v>
      </c>
      <c r="P17" s="248"/>
      <c r="Q17" s="248"/>
      <c r="R17" s="248"/>
      <c r="S17" s="248"/>
      <c r="T17" s="248"/>
      <c r="U17" s="248"/>
      <c r="V17" s="248"/>
    </row>
    <row r="18" spans="2:33" x14ac:dyDescent="0.25">
      <c r="O18" s="157" t="s">
        <v>965</v>
      </c>
      <c r="P18" s="157"/>
      <c r="Q18" s="157"/>
      <c r="R18" s="245">
        <v>1</v>
      </c>
      <c r="S18" s="245"/>
      <c r="U18" s="158"/>
      <c r="V18" s="158" t="s">
        <v>964</v>
      </c>
    </row>
    <row r="22" spans="2:33" x14ac:dyDescent="0.25">
      <c r="B22" s="248" t="str">
        <f>HLOOKUP(VIONARO!I4,Sprachen!A2:K54,53,FALSE)</f>
        <v>Szczelina lewa</v>
      </c>
      <c r="C22" s="248"/>
      <c r="D22" s="248"/>
      <c r="E22" s="248"/>
      <c r="F22" s="248"/>
      <c r="G22" s="248"/>
      <c r="H22" s="248"/>
      <c r="I22" s="248"/>
      <c r="Z22" s="248" t="str">
        <f>HLOOKUP(VIONARO!I4,Sprachen!A2:K55,54,FALSE)</f>
        <v>Szczelina prawa</v>
      </c>
      <c r="AA22" s="248"/>
      <c r="AB22" s="248"/>
      <c r="AC22" s="248"/>
      <c r="AD22" s="248"/>
      <c r="AE22" s="248"/>
      <c r="AF22" s="248"/>
      <c r="AG22" s="248"/>
    </row>
    <row r="23" spans="2:33" x14ac:dyDescent="0.25">
      <c r="B23" s="246" t="s">
        <v>963</v>
      </c>
      <c r="C23" s="246"/>
      <c r="D23" s="246"/>
      <c r="E23" s="251">
        <v>1</v>
      </c>
      <c r="F23" s="251"/>
      <c r="G23" s="247" t="s">
        <v>964</v>
      </c>
      <c r="H23" s="247"/>
      <c r="I23" s="247"/>
      <c r="Z23" s="246" t="s">
        <v>963</v>
      </c>
      <c r="AA23" s="246"/>
      <c r="AB23" s="246"/>
      <c r="AC23" s="245">
        <v>1</v>
      </c>
      <c r="AD23" s="245"/>
      <c r="AE23" s="247" t="s">
        <v>964</v>
      </c>
      <c r="AF23" s="247"/>
      <c r="AG23" s="247"/>
    </row>
    <row r="26" spans="2:33" x14ac:dyDescent="0.25">
      <c r="Z26" s="248" t="str">
        <f>CONCATENATE(HLOOKUP(VIONARO!I4,Sprachen!A2:K43,8,FALSE)," D")</f>
        <v>Wysokość frontu D</v>
      </c>
      <c r="AA26" s="248"/>
      <c r="AB26" s="248"/>
      <c r="AC26" s="248"/>
      <c r="AD26" s="248"/>
      <c r="AE26" s="248"/>
      <c r="AF26" s="248"/>
      <c r="AG26" s="248"/>
    </row>
    <row r="27" spans="2:33" x14ac:dyDescent="0.25">
      <c r="Z27" s="246" t="s">
        <v>977</v>
      </c>
      <c r="AA27" s="246"/>
      <c r="AB27" s="246"/>
      <c r="AC27" s="245"/>
      <c r="AD27" s="245"/>
      <c r="AE27" s="247" t="s">
        <v>978</v>
      </c>
      <c r="AF27" s="247"/>
      <c r="AG27" s="247"/>
    </row>
    <row r="28" spans="2:33" x14ac:dyDescent="0.25">
      <c r="Z28" s="252" t="str">
        <f>HLOOKUP(VIONARO!I4,Sprachen!A2:K50,49,FALSE)</f>
        <v>Proszę podać wysokość frontów</v>
      </c>
      <c r="AA28" s="252"/>
      <c r="AB28" s="252"/>
      <c r="AC28" s="252"/>
      <c r="AD28" s="252"/>
      <c r="AE28" s="252"/>
      <c r="AF28" s="252"/>
      <c r="AG28" s="252"/>
    </row>
    <row r="31" spans="2:33" x14ac:dyDescent="0.25">
      <c r="Z31" s="248" t="str">
        <f>CONCATENATE(HLOOKUP(VIONARO!I4,Sprachen!A2:K43,8,FALSE)," C")</f>
        <v>Wysokość frontu C</v>
      </c>
      <c r="AA31" s="248"/>
      <c r="AB31" s="248"/>
      <c r="AC31" s="248"/>
      <c r="AD31" s="248"/>
      <c r="AE31" s="248"/>
      <c r="AF31" s="248"/>
      <c r="AG31" s="248"/>
    </row>
    <row r="32" spans="2:33" x14ac:dyDescent="0.25">
      <c r="Z32" s="246" t="s">
        <v>977</v>
      </c>
      <c r="AA32" s="246"/>
      <c r="AB32" s="246"/>
      <c r="AC32" s="245"/>
      <c r="AD32" s="245"/>
      <c r="AE32" s="247" t="s">
        <v>978</v>
      </c>
      <c r="AF32" s="247"/>
      <c r="AG32" s="247"/>
    </row>
    <row r="33" spans="2:33" x14ac:dyDescent="0.25">
      <c r="Z33" s="252" t="str">
        <f>HLOOKUP(VIONARO!I4,Sprachen!A2:K50,49,FALSE)</f>
        <v>Proszę podać wysokość frontów</v>
      </c>
      <c r="AA33" s="252"/>
      <c r="AB33" s="252"/>
      <c r="AC33" s="252"/>
      <c r="AD33" s="252"/>
      <c r="AE33" s="252"/>
      <c r="AF33" s="252"/>
      <c r="AG33" s="252"/>
    </row>
    <row r="36" spans="2:33" x14ac:dyDescent="0.25">
      <c r="Z36" s="248" t="str">
        <f>CONCATENATE(HLOOKUP(VIONARO!I4,Sprachen!A2:K43,8,FALSE)," B")</f>
        <v>Wysokość frontu B</v>
      </c>
      <c r="AA36" s="248"/>
      <c r="AB36" s="248"/>
      <c r="AC36" s="248"/>
      <c r="AD36" s="248"/>
      <c r="AE36" s="248"/>
      <c r="AF36" s="248"/>
      <c r="AG36" s="248"/>
    </row>
    <row r="37" spans="2:33" x14ac:dyDescent="0.25">
      <c r="Z37" s="246" t="s">
        <v>977</v>
      </c>
      <c r="AA37" s="246"/>
      <c r="AB37" s="246"/>
      <c r="AC37" s="253">
        <v>140</v>
      </c>
      <c r="AD37" s="253"/>
      <c r="AE37" s="247" t="s">
        <v>978</v>
      </c>
      <c r="AF37" s="247"/>
      <c r="AG37" s="247"/>
    </row>
    <row r="38" spans="2:33" x14ac:dyDescent="0.25">
      <c r="Z38" s="252" t="str">
        <f>HLOOKUP(VIONARO!I4,Sprachen!A2:K50,49,FALSE)</f>
        <v>Proszę podać wysokość frontów</v>
      </c>
      <c r="AA38" s="252"/>
      <c r="AB38" s="252"/>
      <c r="AC38" s="252"/>
      <c r="AD38" s="252"/>
      <c r="AE38" s="252"/>
      <c r="AF38" s="252"/>
      <c r="AG38" s="252"/>
    </row>
    <row r="41" spans="2:33" x14ac:dyDescent="0.25">
      <c r="Z41" s="248" t="str">
        <f>CONCATENATE(HLOOKUP(VIONARO!I4,Sprachen!A2:K43,8,FALSE)," A")</f>
        <v>Wysokość frontu A</v>
      </c>
      <c r="AA41" s="248"/>
      <c r="AB41" s="248"/>
      <c r="AC41" s="248"/>
      <c r="AD41" s="248"/>
      <c r="AE41" s="248"/>
      <c r="AF41" s="248"/>
      <c r="AG41" s="248"/>
    </row>
    <row r="42" spans="2:33" x14ac:dyDescent="0.25">
      <c r="Z42" s="246" t="s">
        <v>977</v>
      </c>
      <c r="AA42" s="246"/>
      <c r="AB42" s="246"/>
      <c r="AC42" s="245">
        <v>560</v>
      </c>
      <c r="AD42" s="245"/>
      <c r="AE42" s="247" t="s">
        <v>978</v>
      </c>
      <c r="AF42" s="247"/>
      <c r="AG42" s="247"/>
    </row>
    <row r="43" spans="2:33" ht="15" customHeight="1" x14ac:dyDescent="0.25">
      <c r="Z43" s="252" t="str">
        <f>HLOOKUP(VIONARO!I4,Sprachen!A2:K50,49,FALSE)</f>
        <v>Proszę podać wysokość frontów</v>
      </c>
      <c r="AA43" s="252"/>
      <c r="AB43" s="252"/>
      <c r="AC43" s="252"/>
      <c r="AD43" s="252"/>
      <c r="AE43" s="252"/>
      <c r="AF43" s="252"/>
      <c r="AG43" s="252"/>
    </row>
    <row r="44" spans="2:33" x14ac:dyDescent="0.25">
      <c r="Z44" s="131"/>
      <c r="AA44" s="131"/>
      <c r="AB44" s="131"/>
      <c r="AC44" s="131"/>
      <c r="AD44" s="131"/>
      <c r="AE44" s="131"/>
      <c r="AF44" s="131"/>
      <c r="AG44" s="131"/>
    </row>
    <row r="45" spans="2:33" ht="15.75" thickBot="1" x14ac:dyDescent="0.3">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7" spans="2:33" x14ac:dyDescent="0.25">
      <c r="AC47" s="243" t="str">
        <f>HLOOKUP(VIONARO!I4,Sprachen!A2:K46,45,FALSE)</f>
        <v>Dalej</v>
      </c>
      <c r="AD47" s="243"/>
      <c r="AE47" s="243"/>
      <c r="AF47" s="243"/>
      <c r="AG47" s="243"/>
    </row>
  </sheetData>
  <sheetProtection password="ED45" sheet="1" objects="1" scenarios="1" selectLockedCells="1"/>
  <mergeCells count="40">
    <mergeCell ref="AC5:AG5"/>
    <mergeCell ref="B13:I13"/>
    <mergeCell ref="B14:D14"/>
    <mergeCell ref="AC14:AD14"/>
    <mergeCell ref="G14:I14"/>
    <mergeCell ref="Z13:AG13"/>
    <mergeCell ref="Z14:AB14"/>
    <mergeCell ref="E14:F14"/>
    <mergeCell ref="AE14:AG14"/>
    <mergeCell ref="Z26:AG26"/>
    <mergeCell ref="Z27:AB27"/>
    <mergeCell ref="AC27:AD27"/>
    <mergeCell ref="AE27:AG27"/>
    <mergeCell ref="Z37:AB37"/>
    <mergeCell ref="AC37:AD37"/>
    <mergeCell ref="AE37:AG37"/>
    <mergeCell ref="Z31:AG31"/>
    <mergeCell ref="Z28:AG28"/>
    <mergeCell ref="Z22:AG22"/>
    <mergeCell ref="Z23:AB23"/>
    <mergeCell ref="AC23:AD23"/>
    <mergeCell ref="AE23:AG23"/>
    <mergeCell ref="AC47:AG47"/>
    <mergeCell ref="Z36:AG36"/>
    <mergeCell ref="Z32:AB32"/>
    <mergeCell ref="AC32:AD32"/>
    <mergeCell ref="AE32:AG32"/>
    <mergeCell ref="Z43:AG43"/>
    <mergeCell ref="Z38:AG38"/>
    <mergeCell ref="Z33:AG33"/>
    <mergeCell ref="Z41:AG41"/>
    <mergeCell ref="Z42:AB42"/>
    <mergeCell ref="AC42:AD42"/>
    <mergeCell ref="AE42:AG42"/>
    <mergeCell ref="O17:V17"/>
    <mergeCell ref="B22:I22"/>
    <mergeCell ref="B23:D23"/>
    <mergeCell ref="E23:F23"/>
    <mergeCell ref="G23:I23"/>
    <mergeCell ref="R18:S18"/>
  </mergeCells>
  <conditionalFormatting sqref="B13">
    <cfRule type="expression" dxfId="48" priority="38">
      <formula>$K$13&lt;&gt;""</formula>
    </cfRule>
  </conditionalFormatting>
  <conditionalFormatting sqref="O17">
    <cfRule type="expression" dxfId="47" priority="37">
      <formula>$K$13&lt;&gt;""</formula>
    </cfRule>
  </conditionalFormatting>
  <conditionalFormatting sqref="Z13">
    <cfRule type="expression" dxfId="46" priority="36">
      <formula>$K$13&lt;&gt;""</formula>
    </cfRule>
  </conditionalFormatting>
  <conditionalFormatting sqref="Z41">
    <cfRule type="expression" dxfId="45" priority="35">
      <formula>$K$13&lt;&gt;""</formula>
    </cfRule>
  </conditionalFormatting>
  <conditionalFormatting sqref="Z36">
    <cfRule type="expression" dxfId="44" priority="34">
      <formula>$K$13&lt;&gt;""</formula>
    </cfRule>
  </conditionalFormatting>
  <conditionalFormatting sqref="Z31">
    <cfRule type="expression" dxfId="43" priority="33">
      <formula>$K$13&lt;&gt;""</formula>
    </cfRule>
  </conditionalFormatting>
  <conditionalFormatting sqref="Z26">
    <cfRule type="expression" dxfId="42" priority="32">
      <formula>$K$13&lt;&gt;""</formula>
    </cfRule>
  </conditionalFormatting>
  <conditionalFormatting sqref="Z43:AG43">
    <cfRule type="expression" dxfId="41" priority="25">
      <formula>IF($AC$42="",0,1)</formula>
    </cfRule>
  </conditionalFormatting>
  <conditionalFormatting sqref="Z38:AG38">
    <cfRule type="expression" dxfId="40" priority="24">
      <formula>IF($AC$37="",0,1)</formula>
    </cfRule>
  </conditionalFormatting>
  <conditionalFormatting sqref="Z33:AG33">
    <cfRule type="expression" dxfId="39" priority="23">
      <formula>IF($AC$32="",0,1)</formula>
    </cfRule>
  </conditionalFormatting>
  <conditionalFormatting sqref="Z28:AG28">
    <cfRule type="expression" dxfId="38" priority="22">
      <formula>IF($AC$27="",0,1)</formula>
    </cfRule>
  </conditionalFormatting>
  <conditionalFormatting sqref="B22">
    <cfRule type="expression" dxfId="37" priority="11">
      <formula>$K$13&lt;&gt;""</formula>
    </cfRule>
  </conditionalFormatting>
  <conditionalFormatting sqref="Z22">
    <cfRule type="expression" dxfId="36" priority="10">
      <formula>$K$13&lt;&gt;""</formula>
    </cfRule>
  </conditionalFormatting>
  <conditionalFormatting sqref="AC42:AD42">
    <cfRule type="expression" dxfId="35" priority="9">
      <formula>IF($AC$42="",1,0)</formula>
    </cfRule>
  </conditionalFormatting>
  <dataValidations count="3">
    <dataValidation type="whole" allowBlank="1" showInputMessage="1" showErrorMessage="1" errorTitle="Nicht möglich! / Invalid value!" error="0 - 5 mm" sqref="E14:F14 AC14:AD14 E23:F23 AC23:AD23">
      <formula1>0</formula1>
      <formula2>5</formula2>
    </dataValidation>
    <dataValidation type="whole" allowBlank="1" showInputMessage="1" showErrorMessage="1" errorTitle="Nicht möglich! / Invalid value!" error="1 - 5 mm" sqref="R18">
      <formula1>1</formula1>
      <formula2>5</formula2>
    </dataValidation>
    <dataValidation type="whole" allowBlank="1" showInputMessage="1" showErrorMessage="1" errorTitle="Nicht möglich! / Invalid value!" error="96 - 780 mm" sqref="AC27:AD27 AC42:AD42 AC37:AD37 AC32:AD32">
      <formula1>96</formula1>
      <formula2>780</formula2>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916" r:id="rId4" name="Scroll Bar 460">
              <controlPr defaultSize="0" autoPict="0">
                <anchor moveWithCells="1">
                  <from>
                    <xdr:col>1</xdr:col>
                    <xdr:colOff>0</xdr:colOff>
                    <xdr:row>14</xdr:row>
                    <xdr:rowOff>19050</xdr:rowOff>
                  </from>
                  <to>
                    <xdr:col>8</xdr:col>
                    <xdr:colOff>228600</xdr:colOff>
                    <xdr:row>15</xdr:row>
                    <xdr:rowOff>9525</xdr:rowOff>
                  </to>
                </anchor>
              </controlPr>
            </control>
          </mc:Choice>
        </mc:AlternateContent>
        <mc:AlternateContent xmlns:mc="http://schemas.openxmlformats.org/markup-compatibility/2006">
          <mc:Choice Requires="x14">
            <control shapeId="19922" r:id="rId5" name="Scroll Bar 466">
              <controlPr defaultSize="0" autoPict="0">
                <anchor moveWithCells="1">
                  <from>
                    <xdr:col>1</xdr:col>
                    <xdr:colOff>0</xdr:colOff>
                    <xdr:row>23</xdr:row>
                    <xdr:rowOff>19050</xdr:rowOff>
                  </from>
                  <to>
                    <xdr:col>8</xdr:col>
                    <xdr:colOff>228600</xdr:colOff>
                    <xdr:row>24</xdr:row>
                    <xdr:rowOff>9525</xdr:rowOff>
                  </to>
                </anchor>
              </controlPr>
            </control>
          </mc:Choice>
        </mc:AlternateContent>
        <mc:AlternateContent xmlns:mc="http://schemas.openxmlformats.org/markup-compatibility/2006">
          <mc:Choice Requires="x14">
            <control shapeId="19923" r:id="rId6" name="Scroll Bar 467">
              <controlPr defaultSize="0" autoPict="0">
                <anchor moveWithCells="1">
                  <from>
                    <xdr:col>14</xdr:col>
                    <xdr:colOff>0</xdr:colOff>
                    <xdr:row>18</xdr:row>
                    <xdr:rowOff>19050</xdr:rowOff>
                  </from>
                  <to>
                    <xdr:col>21</xdr:col>
                    <xdr:colOff>228600</xdr:colOff>
                    <xdr:row>19</xdr:row>
                    <xdr:rowOff>9525</xdr:rowOff>
                  </to>
                </anchor>
              </controlPr>
            </control>
          </mc:Choice>
        </mc:AlternateContent>
        <mc:AlternateContent xmlns:mc="http://schemas.openxmlformats.org/markup-compatibility/2006">
          <mc:Choice Requires="x14">
            <control shapeId="19924" r:id="rId7" name="Scroll Bar 468">
              <controlPr defaultSize="0" autoPict="0">
                <anchor moveWithCells="1">
                  <from>
                    <xdr:col>25</xdr:col>
                    <xdr:colOff>0</xdr:colOff>
                    <xdr:row>14</xdr:row>
                    <xdr:rowOff>19050</xdr:rowOff>
                  </from>
                  <to>
                    <xdr:col>32</xdr:col>
                    <xdr:colOff>228600</xdr:colOff>
                    <xdr:row>15</xdr:row>
                    <xdr:rowOff>9525</xdr:rowOff>
                  </to>
                </anchor>
              </controlPr>
            </control>
          </mc:Choice>
        </mc:AlternateContent>
        <mc:AlternateContent xmlns:mc="http://schemas.openxmlformats.org/markup-compatibility/2006">
          <mc:Choice Requires="x14">
            <control shapeId="19925" r:id="rId8" name="Scroll Bar 469">
              <controlPr defaultSize="0" autoPict="0">
                <anchor moveWithCells="1">
                  <from>
                    <xdr:col>25</xdr:col>
                    <xdr:colOff>0</xdr:colOff>
                    <xdr:row>23</xdr:row>
                    <xdr:rowOff>9525</xdr:rowOff>
                  </from>
                  <to>
                    <xdr:col>32</xdr:col>
                    <xdr:colOff>228600</xdr:colOff>
                    <xdr:row>24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 id="{CE5C96A5-3778-477A-A48F-D68033280033}">
            <xm:f>IF(VIONARO!$I$10&lt;2,1,0)</xm:f>
            <x14:dxf>
              <font>
                <color theme="0"/>
              </font>
            </x14:dxf>
          </x14:cfRule>
          <xm:sqref>Z37:AG37</xm:sqref>
        </x14:conditionalFormatting>
        <x14:conditionalFormatting xmlns:xm="http://schemas.microsoft.com/office/excel/2006/main">
          <x14:cfRule type="expression" priority="30" id="{7E7B14EC-619C-468F-A7F1-31BFDA8864FA}">
            <xm:f>IF(VIONARO!$I$10&lt;3,1,0)</xm:f>
            <x14:dxf>
              <font>
                <color theme="0"/>
              </font>
            </x14:dxf>
          </x14:cfRule>
          <xm:sqref>Z32:AG32</xm:sqref>
        </x14:conditionalFormatting>
        <x14:conditionalFormatting xmlns:xm="http://schemas.microsoft.com/office/excel/2006/main">
          <x14:cfRule type="expression" priority="29" id="{F00464CF-53E3-4820-848B-3D3B6BAEDCCC}">
            <xm:f>IF(VIONARO!$I$10&lt;4,1,0)</xm:f>
            <x14:dxf>
              <font>
                <color theme="0"/>
              </font>
            </x14:dxf>
          </x14:cfRule>
          <xm:sqref>Z27:AG27</xm:sqref>
        </x14:conditionalFormatting>
        <x14:conditionalFormatting xmlns:xm="http://schemas.microsoft.com/office/excel/2006/main">
          <x14:cfRule type="expression" priority="19" id="{89E2D2C2-2E3B-4E53-9DA7-EB0B3F5D5D65}">
            <xm:f>IF(VIONARO!$I$10&gt;1,0,1)</xm:f>
            <x14:dxf>
              <font>
                <color theme="0"/>
              </font>
            </x14:dxf>
          </x14:cfRule>
          <xm:sqref>Z38:AG38</xm:sqref>
        </x14:conditionalFormatting>
        <x14:conditionalFormatting xmlns:xm="http://schemas.microsoft.com/office/excel/2006/main">
          <x14:cfRule type="expression" priority="20" id="{62A9AFBA-EA7E-421A-9B7F-3F4A4D512E2D}">
            <xm:f>IF(VIONARO!$I$10&gt;2,0,1)</xm:f>
            <x14:dxf>
              <font>
                <color theme="0"/>
              </font>
            </x14:dxf>
          </x14:cfRule>
          <xm:sqref>Z33:AG33</xm:sqref>
        </x14:conditionalFormatting>
        <x14:conditionalFormatting xmlns:xm="http://schemas.microsoft.com/office/excel/2006/main">
          <x14:cfRule type="expression" priority="21" id="{F772A3E9-B794-4910-A65D-B0332A50C134}">
            <xm:f>IF(VIONARO!$I$10&gt;3,0,1)</xm:f>
            <x14:dxf>
              <font>
                <color theme="0"/>
              </font>
            </x14:dxf>
          </x14:cfRule>
          <xm:sqref>Z28:AG28</xm:sqref>
        </x14:conditionalFormatting>
        <x14:conditionalFormatting xmlns:xm="http://schemas.microsoft.com/office/excel/2006/main">
          <x14:cfRule type="expression" priority="8" id="{0E0BF663-5B4D-4B47-943B-CE058FA7DF83}">
            <xm:f>IF(AND(VIONARO!$I$10&gt;1,$AC$37=""),1,0)</xm:f>
            <x14:dxf>
              <border>
                <left style="thin">
                  <color rgb="FFFF0000"/>
                </left>
                <right style="thin">
                  <color rgb="FFFF0000"/>
                </right>
                <top style="thin">
                  <color rgb="FFFF0000"/>
                </top>
                <bottom style="thin">
                  <color rgb="FFFF0000"/>
                </bottom>
                <vertical/>
                <horizontal/>
              </border>
            </x14:dxf>
          </x14:cfRule>
          <xm:sqref>AC37:AD37</xm:sqref>
        </x14:conditionalFormatting>
        <x14:conditionalFormatting xmlns:xm="http://schemas.microsoft.com/office/excel/2006/main">
          <x14:cfRule type="expression" priority="7" id="{C50CE4E9-D03A-4C34-A94D-EAC50FD0262A}">
            <xm:f>IF(AND(VIONARO!$I$10&gt;2,$AC$32=""),1,0)</xm:f>
            <x14:dxf>
              <border>
                <left style="thin">
                  <color rgb="FFFF0000"/>
                </left>
                <right style="thin">
                  <color rgb="FFFF0000"/>
                </right>
                <top style="thin">
                  <color rgb="FFFF0000"/>
                </top>
                <bottom style="thin">
                  <color rgb="FFFF0000"/>
                </bottom>
                <vertical/>
                <horizontal/>
              </border>
            </x14:dxf>
          </x14:cfRule>
          <xm:sqref>AC32:AD32</xm:sqref>
        </x14:conditionalFormatting>
        <x14:conditionalFormatting xmlns:xm="http://schemas.microsoft.com/office/excel/2006/main">
          <x14:cfRule type="expression" priority="6" id="{4F2C96F7-406F-42BE-8B07-4BF4C8E1149F}">
            <xm:f>IF(AND(VIONARO!$I$10&gt;3,$AC$27=""),1,0)</xm:f>
            <x14:dxf>
              <border>
                <left style="thin">
                  <color rgb="FFFF0000"/>
                </left>
                <right style="thin">
                  <color rgb="FFFF0000"/>
                </right>
                <top style="thin">
                  <color rgb="FFFF0000"/>
                </top>
                <bottom style="thin">
                  <color rgb="FFFF0000"/>
                </bottom>
                <vertical/>
                <horizontal/>
              </border>
            </x14:dxf>
          </x14:cfRule>
          <xm:sqref>AC27:AD27</xm:sqref>
        </x14:conditionalFormatting>
        <x14:conditionalFormatting xmlns:xm="http://schemas.microsoft.com/office/excel/2006/main">
          <x14:cfRule type="expression" priority="4" id="{992DA5D0-F36E-4AEC-B51E-3AADC89A27D3}">
            <xm:f>IF(VIONARO!$I$10&lt;4,1,0)</xm:f>
            <x14:dxf>
              <fill>
                <patternFill>
                  <bgColor theme="0"/>
                </patternFill>
              </fill>
            </x14:dxf>
          </x14:cfRule>
          <x14:cfRule type="expression" priority="5" id="{60DDCF1C-5B6A-4984-85FF-1B6EE47E0750}">
            <xm:f>IF(VIONARO!I4&lt;4,0,1)</xm:f>
            <x14:dxf/>
          </x14:cfRule>
          <xm:sqref>Z26:AG26</xm:sqref>
        </x14:conditionalFormatting>
        <x14:conditionalFormatting xmlns:xm="http://schemas.microsoft.com/office/excel/2006/main">
          <x14:cfRule type="expression" priority="3" id="{8E8A4974-3ADF-4195-AFA7-77EF52820FCD}">
            <xm:f>IF(VIONARO!$I$10&lt;3,1,0)</xm:f>
            <x14:dxf>
              <fill>
                <patternFill>
                  <bgColor theme="0"/>
                </patternFill>
              </fill>
            </x14:dxf>
          </x14:cfRule>
          <xm:sqref>Z31:AG31</xm:sqref>
        </x14:conditionalFormatting>
        <x14:conditionalFormatting xmlns:xm="http://schemas.microsoft.com/office/excel/2006/main">
          <x14:cfRule type="expression" priority="1" id="{0FDC0ECC-BC9E-4570-9F65-8DA6282E4F63}">
            <xm:f>IF(VIONARO!$I$10&lt;2,1,0)</xm:f>
            <x14:dxf>
              <fill>
                <patternFill>
                  <bgColor theme="0"/>
                </patternFill>
              </fill>
            </x14:dxf>
          </x14:cfRule>
          <xm:sqref>Z36:AG36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B2:AG37"/>
  <sheetViews>
    <sheetView showGridLines="0" showRowColHeaders="0" workbookViewId="0"/>
  </sheetViews>
  <sheetFormatPr defaultColWidth="3.7109375" defaultRowHeight="15" x14ac:dyDescent="0.25"/>
  <cols>
    <col min="1" max="1" width="3.7109375" style="126"/>
    <col min="2" max="2" width="3.7109375" style="126" customWidth="1"/>
    <col min="3" max="3" width="7.7109375" style="126" bestFit="1" customWidth="1"/>
    <col min="4" max="16" width="3.7109375" style="126"/>
    <col min="17" max="17" width="7.7109375" style="126" bestFit="1" customWidth="1"/>
    <col min="18" max="24" width="3.7109375" style="126"/>
    <col min="25" max="25" width="7.7109375" style="126" bestFit="1" customWidth="1"/>
    <col min="26" max="27" width="3.7109375" style="126"/>
    <col min="28" max="28" width="4" style="126" bestFit="1" customWidth="1"/>
    <col min="29" max="16384" width="3.7109375" style="126"/>
  </cols>
  <sheetData>
    <row r="2" spans="2:33" ht="81.75" customHeight="1" x14ac:dyDescent="0.25"/>
    <row r="3" spans="2:33" x14ac:dyDescent="0.25">
      <c r="AG3" s="127" t="str">
        <f>START!L3</f>
        <v>V3.4</v>
      </c>
    </row>
    <row r="5" spans="2:33" x14ac:dyDescent="0.25">
      <c r="AC5" s="254" t="str">
        <f>HLOOKUP(VIONARO!I4,Sprachen!A2:K43,32,FALSE)</f>
        <v>Powrót</v>
      </c>
      <c r="AD5" s="254"/>
      <c r="AE5" s="254"/>
      <c r="AF5" s="254"/>
      <c r="AG5" s="254"/>
    </row>
    <row r="6" spans="2:33" ht="15.75" thickBot="1" x14ac:dyDescent="0.3">
      <c r="B6" s="128" t="str">
        <f>VIONARO!G27</f>
        <v>Wszystkie wymiary w mm</v>
      </c>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row>
    <row r="8" spans="2:33" x14ac:dyDescent="0.25">
      <c r="B8" s="126" t="str">
        <f>HLOOKUP(VIONARO!I4,Sprachen!A2:K49,48,FALSE)</f>
        <v>Proszę skonfigurować szufladę</v>
      </c>
    </row>
    <row r="10" spans="2:33" x14ac:dyDescent="0.25">
      <c r="B10" s="256" t="str">
        <f>IF(VIONARO!I10&lt;0,HLOOKUP(VIONARO!I4,Sprachen!A2:K48,47,FALSE),(CONCATENATE(HLOOKUP(VIONARO!I4,Sprachen!A2:K48,46,FALSE)," A")))</f>
        <v>Konfiguracja szuflady A</v>
      </c>
      <c r="C10" s="256"/>
      <c r="D10" s="256"/>
      <c r="E10" s="256"/>
      <c r="F10" s="256"/>
      <c r="G10" s="256"/>
      <c r="H10" s="256"/>
      <c r="I10" s="256"/>
      <c r="J10" s="256"/>
      <c r="K10" s="256"/>
      <c r="L10" s="256"/>
      <c r="M10" s="256"/>
      <c r="N10" s="256"/>
      <c r="O10" s="256"/>
      <c r="P10" s="256"/>
      <c r="S10" s="256" t="str">
        <f>IF(VIONARO!I10&lt;2,HLOOKUP(VIONARO!I4,Sprachen!A2:K48,47,FALSE),(CONCATENATE(HLOOKUP(VIONARO!I4,Sprachen!A2:K48,46,FALSE)," B")))</f>
        <v>Konfiguracja szuflady B</v>
      </c>
      <c r="T10" s="256"/>
      <c r="U10" s="256"/>
      <c r="V10" s="256"/>
      <c r="W10" s="256"/>
      <c r="X10" s="256"/>
      <c r="Y10" s="256"/>
      <c r="Z10" s="256"/>
      <c r="AA10" s="256"/>
      <c r="AB10" s="256"/>
      <c r="AC10" s="256"/>
      <c r="AD10" s="256"/>
      <c r="AE10" s="256"/>
      <c r="AF10" s="256"/>
      <c r="AG10" s="256"/>
    </row>
    <row r="12" spans="2:33" x14ac:dyDescent="0.25">
      <c r="B12" s="129" t="str">
        <f>CONCATENATE(HLOOKUP(VIONARO!I4,Sprachen!A2:K43,12,FALSE)," :")</f>
        <v>Szuflada :</v>
      </c>
      <c r="C12" s="129"/>
      <c r="D12" s="129"/>
      <c r="E12" s="129"/>
      <c r="F12" s="257"/>
      <c r="G12" s="257"/>
      <c r="H12" s="257"/>
      <c r="I12" s="257"/>
      <c r="O12" s="130"/>
      <c r="P12" s="130"/>
      <c r="S12" s="129" t="str">
        <f>CONCATENATE(HLOOKUP(VIONARO!I4,Sprachen!A2:K43,12,FALSE)," :")</f>
        <v>Szuflada :</v>
      </c>
      <c r="T12" s="129"/>
      <c r="U12" s="129"/>
      <c r="V12" s="129"/>
      <c r="W12" s="257"/>
      <c r="X12" s="257"/>
      <c r="Y12" s="257"/>
      <c r="Z12" s="257"/>
      <c r="AF12" s="130"/>
      <c r="AG12" s="130"/>
    </row>
    <row r="13" spans="2:33" x14ac:dyDescent="0.25">
      <c r="B13" s="126" t="str">
        <f>CONCATENATE(HLOOKUP(VIONARO!I4,Sprachen!A2:K43,13,FALSE)," :")</f>
        <v>Głębokość :</v>
      </c>
      <c r="S13" s="126" t="str">
        <f>CONCATENATE(HLOOKUP(VIONARO!I4,Sprachen!A2:K43,13,FALSE)," :")</f>
        <v>Głębokość :</v>
      </c>
    </row>
    <row r="14" spans="2:33" x14ac:dyDescent="0.25">
      <c r="B14" s="255" t="str">
        <f>CONCATENATE(HLOOKUP(VIONARO!I4,Sprachen!A2:K43,19,FALSE)," :")</f>
        <v>Typ prowadnicy :</v>
      </c>
      <c r="C14" s="255"/>
      <c r="D14" s="255"/>
      <c r="E14" s="255"/>
      <c r="S14" s="255" t="str">
        <f>CONCATENATE(HLOOKUP(VIONARO!I4,Sprachen!A2:K43,19,FALSE)," :")</f>
        <v>Typ prowadnicy :</v>
      </c>
      <c r="T14" s="255"/>
      <c r="U14" s="255"/>
      <c r="V14" s="255"/>
    </row>
    <row r="16" spans="2:33" x14ac:dyDescent="0.25">
      <c r="B16" s="255" t="str">
        <f>CONCATENATE(HLOOKUP(VIONARO!I4,Sprachen!A2:K43,16,FALSE)," :")</f>
        <v>Mocowanie frontu :</v>
      </c>
      <c r="C16" s="255"/>
      <c r="D16" s="255"/>
      <c r="E16" s="255"/>
      <c r="F16" s="255"/>
      <c r="G16" s="255"/>
      <c r="S16" s="255" t="str">
        <f>CONCATENATE(HLOOKUP(VIONARO!I4,Sprachen!A2:K43,16,FALSE)," :")</f>
        <v>Mocowanie frontu :</v>
      </c>
      <c r="T16" s="255"/>
      <c r="U16" s="255"/>
      <c r="V16" s="255"/>
      <c r="W16" s="255"/>
      <c r="X16" s="255"/>
    </row>
    <row r="18" spans="2:33" x14ac:dyDescent="0.25">
      <c r="B18" s="126" t="str">
        <f>CONCATENATE(HLOOKUP(VIONARO!I4,Sprachen!A2:K43,14,FALSE)," :")</f>
        <v>Szuflada wewnętrzna :</v>
      </c>
      <c r="S18" s="126" t="str">
        <f>CONCATENATE(HLOOKUP(VIONARO!I4,Sprachen!A2:K43,14,FALSE)," :")</f>
        <v>Szuflada wewnętrzna :</v>
      </c>
    </row>
    <row r="19" spans="2:33" x14ac:dyDescent="0.25">
      <c r="B19" s="126" t="str">
        <f>CONCATENATE(HLOOKUP(VIONARO!I4,Sprachen!A2:K43,13,FALSE)," :")</f>
        <v>Głębokość :</v>
      </c>
      <c r="S19" s="126" t="str">
        <f>CONCATENATE(HLOOKUP(VIONARO!I4,Sprachen!A2:K43,13,FALSE)," :")</f>
        <v>Głębokość :</v>
      </c>
    </row>
    <row r="20" spans="2:33" x14ac:dyDescent="0.25">
      <c r="B20" s="126" t="str">
        <f>CONCATENATE(HLOOKUP(VIONARO!I4,Sprachen!A2:K43,19,FALSE)," :")</f>
        <v>Typ prowadnicy :</v>
      </c>
      <c r="S20" s="126" t="str">
        <f>CONCATENATE(HLOOKUP(VIONARO!I4,Sprachen!A2:K43,19,FALSE)," :")</f>
        <v>Typ prowadnicy :</v>
      </c>
    </row>
    <row r="23" spans="2:33" x14ac:dyDescent="0.25">
      <c r="B23" s="256" t="str">
        <f>IF(VIONARO!I10&lt;3,HLOOKUP(VIONARO!I4,Sprachen!A2:K48,47,FALSE),(CONCATENATE(HLOOKUP(VIONARO!I4,Sprachen!A2:K48,46,FALSE)," C")))</f>
        <v>Konfiguracja nie jest potrzebna</v>
      </c>
      <c r="C23" s="256"/>
      <c r="D23" s="256"/>
      <c r="E23" s="256"/>
      <c r="F23" s="256"/>
      <c r="G23" s="256"/>
      <c r="H23" s="256"/>
      <c r="I23" s="256"/>
      <c r="J23" s="256"/>
      <c r="K23" s="256"/>
      <c r="L23" s="256"/>
      <c r="M23" s="256"/>
      <c r="N23" s="256"/>
      <c r="O23" s="256"/>
      <c r="P23" s="256"/>
      <c r="S23" s="256" t="str">
        <f>IF(VIONARO!I10&lt;4,HLOOKUP(VIONARO!I4,Sprachen!A2:K48,47,FALSE),(CONCATENATE(HLOOKUP(VIONARO!I4,Sprachen!A2:K48,46,FALSE)," D")))</f>
        <v>Konfiguracja nie jest potrzebna</v>
      </c>
      <c r="T23" s="256"/>
      <c r="U23" s="256"/>
      <c r="V23" s="256"/>
      <c r="W23" s="256"/>
      <c r="X23" s="256"/>
      <c r="Y23" s="256"/>
      <c r="Z23" s="256"/>
      <c r="AA23" s="256"/>
      <c r="AB23" s="256"/>
      <c r="AC23" s="256"/>
      <c r="AD23" s="256"/>
      <c r="AE23" s="256"/>
      <c r="AF23" s="256"/>
      <c r="AG23" s="256"/>
    </row>
    <row r="25" spans="2:33" x14ac:dyDescent="0.25">
      <c r="B25" s="129" t="str">
        <f>CONCATENATE(HLOOKUP(VIONARO!I4,Sprachen!A2:K43,12,FALSE)," :")</f>
        <v>Szuflada :</v>
      </c>
      <c r="C25" s="129"/>
      <c r="D25" s="129"/>
      <c r="E25" s="129"/>
      <c r="F25" s="257"/>
      <c r="G25" s="257"/>
      <c r="H25" s="257"/>
      <c r="I25" s="257"/>
      <c r="O25" s="130"/>
      <c r="P25" s="130"/>
      <c r="S25" s="129" t="str">
        <f>CONCATENATE(HLOOKUP(VIONARO!I4,Sprachen!A2:K43,12,FALSE)," :")</f>
        <v>Szuflada :</v>
      </c>
      <c r="T25" s="129"/>
      <c r="U25" s="129"/>
      <c r="V25" s="129"/>
      <c r="W25" s="257"/>
      <c r="X25" s="257"/>
      <c r="Y25" s="257"/>
      <c r="Z25" s="257"/>
      <c r="AF25" s="130"/>
      <c r="AG25" s="130"/>
    </row>
    <row r="26" spans="2:33" x14ac:dyDescent="0.25">
      <c r="B26" s="126" t="str">
        <f>CONCATENATE(HLOOKUP(VIONARO!I4,Sprachen!A2:K43,13,FALSE)," :")</f>
        <v>Głębokość :</v>
      </c>
      <c r="S26" s="126" t="str">
        <f>CONCATENATE(HLOOKUP(VIONARO!I4,Sprachen!A2:K43,13,FALSE)," :")</f>
        <v>Głębokość :</v>
      </c>
    </row>
    <row r="27" spans="2:33" x14ac:dyDescent="0.25">
      <c r="B27" s="255" t="str">
        <f>CONCATENATE(HLOOKUP(VIONARO!I4,Sprachen!A2:K43,19,FALSE)," :")</f>
        <v>Typ prowadnicy :</v>
      </c>
      <c r="C27" s="255"/>
      <c r="D27" s="255"/>
      <c r="E27" s="255"/>
      <c r="S27" s="255" t="str">
        <f>CONCATENATE(HLOOKUP(VIONARO!I4,Sprachen!A2:K43,19,FALSE)," :")</f>
        <v>Typ prowadnicy :</v>
      </c>
      <c r="T27" s="255"/>
      <c r="U27" s="255"/>
      <c r="V27" s="255"/>
    </row>
    <row r="29" spans="2:33" x14ac:dyDescent="0.25">
      <c r="B29" s="255" t="str">
        <f>CONCATENATE(HLOOKUP(VIONARO!I4,Sprachen!A2:K43,16,FALSE)," :")</f>
        <v>Mocowanie frontu :</v>
      </c>
      <c r="C29" s="255"/>
      <c r="D29" s="255"/>
      <c r="E29" s="255"/>
      <c r="F29" s="255"/>
      <c r="G29" s="255"/>
      <c r="S29" s="255" t="str">
        <f>CONCATENATE(HLOOKUP(VIONARO!I4,Sprachen!A2:K43,16,FALSE)," :")</f>
        <v>Mocowanie frontu :</v>
      </c>
      <c r="T29" s="255"/>
      <c r="U29" s="255"/>
      <c r="V29" s="255"/>
      <c r="W29" s="255"/>
      <c r="X29" s="255"/>
    </row>
    <row r="31" spans="2:33" x14ac:dyDescent="0.25">
      <c r="B31" s="126" t="str">
        <f>CONCATENATE(HLOOKUP(VIONARO!I4,Sprachen!A2:K43,14,FALSE)," :")</f>
        <v>Szuflada wewnętrzna :</v>
      </c>
      <c r="S31" s="126" t="str">
        <f>CONCATENATE(HLOOKUP(VIONARO!I4,Sprachen!A2:K43,14,FALSE)," :")</f>
        <v>Szuflada wewnętrzna :</v>
      </c>
    </row>
    <row r="32" spans="2:33" x14ac:dyDescent="0.25">
      <c r="B32" s="126" t="str">
        <f>CONCATENATE(HLOOKUP(VIONARO!I4,Sprachen!A2:K43,13,FALSE)," :")</f>
        <v>Głębokość :</v>
      </c>
      <c r="S32" s="126" t="str">
        <f>CONCATENATE(HLOOKUP(VIONARO!I4,Sprachen!A2:K43,13,FALSE)," :")</f>
        <v>Głębokość :</v>
      </c>
    </row>
    <row r="33" spans="2:33" x14ac:dyDescent="0.25">
      <c r="B33" s="126" t="str">
        <f>CONCATENATE(HLOOKUP(VIONARO!I4,Sprachen!A2:K43,19,FALSE)," :")</f>
        <v>Typ prowadnicy :</v>
      </c>
      <c r="S33" s="126" t="str">
        <f>CONCATENATE(HLOOKUP(VIONARO!I4,Sprachen!A2:K43,19,FALSE)," :")</f>
        <v>Typ prowadnicy :</v>
      </c>
    </row>
    <row r="35" spans="2:33" ht="15.75" thickBot="1" x14ac:dyDescent="0.3">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row>
    <row r="37" spans="2:33" x14ac:dyDescent="0.25">
      <c r="C37" s="210" t="str">
        <f>'Auswahl Führung'!J29</f>
        <v>Ponowny start</v>
      </c>
      <c r="D37" s="210"/>
      <c r="E37" s="210"/>
      <c r="F37" s="210"/>
      <c r="G37" s="210"/>
      <c r="H37" s="210"/>
      <c r="I37" s="210"/>
      <c r="J37" s="210"/>
      <c r="K37" s="210" t="str">
        <f>VIONARO!H37</f>
        <v xml:space="preserve">Dane otworów montażowych </v>
      </c>
      <c r="L37" s="210"/>
      <c r="M37" s="210"/>
      <c r="N37" s="210"/>
      <c r="O37" s="210"/>
      <c r="P37" s="210"/>
      <c r="Q37" s="210"/>
      <c r="R37" s="210"/>
      <c r="S37" s="210" t="str">
        <f>'Auswahl Führung'!T29</f>
        <v>Lista elementów płytowych</v>
      </c>
      <c r="T37" s="210"/>
      <c r="U37" s="210"/>
      <c r="V37" s="210"/>
      <c r="W37" s="210"/>
      <c r="X37" s="210"/>
      <c r="Y37" s="210"/>
      <c r="Z37" s="210"/>
      <c r="AA37" s="210" t="str">
        <f>'Auswahl Führung'!T27</f>
        <v>Lista okuć</v>
      </c>
      <c r="AB37" s="210"/>
    </row>
  </sheetData>
  <sheetProtection password="ED45" sheet="1" objects="1" scenarios="1" selectLockedCells="1"/>
  <mergeCells count="17">
    <mergeCell ref="B23:P23"/>
    <mergeCell ref="F25:I25"/>
    <mergeCell ref="B27:E27"/>
    <mergeCell ref="B29:G29"/>
    <mergeCell ref="B10:P10"/>
    <mergeCell ref="F12:I12"/>
    <mergeCell ref="B14:E14"/>
    <mergeCell ref="B16:G16"/>
    <mergeCell ref="AC5:AG5"/>
    <mergeCell ref="S27:V27"/>
    <mergeCell ref="S29:X29"/>
    <mergeCell ref="S10:AG10"/>
    <mergeCell ref="W12:Z12"/>
    <mergeCell ref="S14:V14"/>
    <mergeCell ref="S16:X16"/>
    <mergeCell ref="W25:Z25"/>
    <mergeCell ref="S23:AG23"/>
  </mergeCells>
  <conditionalFormatting sqref="S23">
    <cfRule type="expression" dxfId="22" priority="21">
      <formula>$K$13&lt;&gt;""</formula>
    </cfRule>
  </conditionalFormatting>
  <dataValidations disablePrompts="1" count="1">
    <dataValidation allowBlank="1" showInputMessage="1" showErrorMessage="1" errorTitle="Nicht möglich! / Invalid value!" error="Aus Dropdown-Feld wählen / Take drop-down box" sqref="W25:Z25 AF25:AG25 F12:I12 O12:P12 W12:Z12 AF12:AG12 F25:I25 O25:P25"/>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7" r:id="rId4" name="Drop Down 7">
              <controlPr defaultSize="0" autoLine="0" autoPict="0">
                <anchor moveWithCells="1">
                  <from>
                    <xdr:col>22</xdr:col>
                    <xdr:colOff>47625</xdr:colOff>
                    <xdr:row>23</xdr:row>
                    <xdr:rowOff>142875</xdr:rowOff>
                  </from>
                  <to>
                    <xdr:col>25</xdr:col>
                    <xdr:colOff>152400</xdr:colOff>
                    <xdr:row>24</xdr:row>
                    <xdr:rowOff>152400</xdr:rowOff>
                  </to>
                </anchor>
              </controlPr>
            </control>
          </mc:Choice>
        </mc:AlternateContent>
        <mc:AlternateContent xmlns:mc="http://schemas.openxmlformats.org/markup-compatibility/2006">
          <mc:Choice Requires="x14">
            <control shapeId="35855" r:id="rId5" name="Drop Down 15">
              <controlPr defaultSize="0" autoLine="0" autoPict="0">
                <anchor moveWithCells="1">
                  <from>
                    <xdr:col>22</xdr:col>
                    <xdr:colOff>47625</xdr:colOff>
                    <xdr:row>25</xdr:row>
                    <xdr:rowOff>0</xdr:rowOff>
                  </from>
                  <to>
                    <xdr:col>25</xdr:col>
                    <xdr:colOff>152400</xdr:colOff>
                    <xdr:row>26</xdr:row>
                    <xdr:rowOff>9525</xdr:rowOff>
                  </to>
                </anchor>
              </controlPr>
            </control>
          </mc:Choice>
        </mc:AlternateContent>
        <mc:AlternateContent xmlns:mc="http://schemas.openxmlformats.org/markup-compatibility/2006">
          <mc:Choice Requires="x14">
            <control shapeId="35858" r:id="rId6" name="Drop Down 18">
              <controlPr defaultSize="0" autoLine="0" autoPict="0">
                <anchor moveWithCells="1">
                  <from>
                    <xdr:col>22</xdr:col>
                    <xdr:colOff>47625</xdr:colOff>
                    <xdr:row>26</xdr:row>
                    <xdr:rowOff>38100</xdr:rowOff>
                  </from>
                  <to>
                    <xdr:col>25</xdr:col>
                    <xdr:colOff>152400</xdr:colOff>
                    <xdr:row>27</xdr:row>
                    <xdr:rowOff>47625</xdr:rowOff>
                  </to>
                </anchor>
              </controlPr>
            </control>
          </mc:Choice>
        </mc:AlternateContent>
        <mc:AlternateContent xmlns:mc="http://schemas.openxmlformats.org/markup-compatibility/2006">
          <mc:Choice Requires="x14">
            <control shapeId="35867" r:id="rId7" name="Drop Down 27">
              <controlPr defaultSize="0" autoLine="0" autoPict="0">
                <anchor moveWithCells="1">
                  <from>
                    <xdr:col>24</xdr:col>
                    <xdr:colOff>47625</xdr:colOff>
                    <xdr:row>28</xdr:row>
                    <xdr:rowOff>9525</xdr:rowOff>
                  </from>
                  <to>
                    <xdr:col>28</xdr:col>
                    <xdr:colOff>28575</xdr:colOff>
                    <xdr:row>29</xdr:row>
                    <xdr:rowOff>19050</xdr:rowOff>
                  </to>
                </anchor>
              </controlPr>
            </control>
          </mc:Choice>
        </mc:AlternateContent>
        <mc:AlternateContent xmlns:mc="http://schemas.openxmlformats.org/markup-compatibility/2006">
          <mc:Choice Requires="x14">
            <control shapeId="35874" r:id="rId8" name="Drop Down 34">
              <controlPr defaultSize="0" autoLine="0" autoPict="0">
                <anchor moveWithCells="1">
                  <from>
                    <xdr:col>22</xdr:col>
                    <xdr:colOff>47625</xdr:colOff>
                    <xdr:row>29</xdr:row>
                    <xdr:rowOff>152400</xdr:rowOff>
                  </from>
                  <to>
                    <xdr:col>25</xdr:col>
                    <xdr:colOff>152400</xdr:colOff>
                    <xdr:row>30</xdr:row>
                    <xdr:rowOff>161925</xdr:rowOff>
                  </to>
                </anchor>
              </controlPr>
            </control>
          </mc:Choice>
        </mc:AlternateContent>
        <mc:AlternateContent xmlns:mc="http://schemas.openxmlformats.org/markup-compatibility/2006">
          <mc:Choice Requires="x14">
            <control shapeId="35875" r:id="rId9" name="Drop Down 35">
              <controlPr defaultSize="0" autoLine="0" autoPict="0">
                <anchor moveWithCells="1">
                  <from>
                    <xdr:col>22</xdr:col>
                    <xdr:colOff>47625</xdr:colOff>
                    <xdr:row>31</xdr:row>
                    <xdr:rowOff>9525</xdr:rowOff>
                  </from>
                  <to>
                    <xdr:col>25</xdr:col>
                    <xdr:colOff>152400</xdr:colOff>
                    <xdr:row>32</xdr:row>
                    <xdr:rowOff>19050</xdr:rowOff>
                  </to>
                </anchor>
              </controlPr>
            </control>
          </mc:Choice>
        </mc:AlternateContent>
        <mc:AlternateContent xmlns:mc="http://schemas.openxmlformats.org/markup-compatibility/2006">
          <mc:Choice Requires="x14">
            <control shapeId="35876" r:id="rId10" name="Drop Down 36">
              <controlPr defaultSize="0" autoLine="0" autoPict="0">
                <anchor moveWithCells="1">
                  <from>
                    <xdr:col>22</xdr:col>
                    <xdr:colOff>47625</xdr:colOff>
                    <xdr:row>32</xdr:row>
                    <xdr:rowOff>47625</xdr:rowOff>
                  </from>
                  <to>
                    <xdr:col>25</xdr:col>
                    <xdr:colOff>152400</xdr:colOff>
                    <xdr:row>33</xdr:row>
                    <xdr:rowOff>57150</xdr:rowOff>
                  </to>
                </anchor>
              </controlPr>
            </control>
          </mc:Choice>
        </mc:AlternateContent>
        <mc:AlternateContent xmlns:mc="http://schemas.openxmlformats.org/markup-compatibility/2006">
          <mc:Choice Requires="x14">
            <control shapeId="35902" r:id="rId11" name="Drop Down 62">
              <controlPr defaultSize="0" autoLine="0" autoPict="0">
                <anchor moveWithCells="1">
                  <from>
                    <xdr:col>5</xdr:col>
                    <xdr:colOff>47625</xdr:colOff>
                    <xdr:row>10</xdr:row>
                    <xdr:rowOff>142875</xdr:rowOff>
                  </from>
                  <to>
                    <xdr:col>9</xdr:col>
                    <xdr:colOff>171450</xdr:colOff>
                    <xdr:row>11</xdr:row>
                    <xdr:rowOff>152400</xdr:rowOff>
                  </to>
                </anchor>
              </controlPr>
            </control>
          </mc:Choice>
        </mc:AlternateContent>
        <mc:AlternateContent xmlns:mc="http://schemas.openxmlformats.org/markup-compatibility/2006">
          <mc:Choice Requires="x14">
            <control shapeId="35903" r:id="rId12" name="Drop Down 63">
              <controlPr defaultSize="0" autoLine="0" autoPict="0">
                <anchor moveWithCells="1">
                  <from>
                    <xdr:col>5</xdr:col>
                    <xdr:colOff>47625</xdr:colOff>
                    <xdr:row>12</xdr:row>
                    <xdr:rowOff>0</xdr:rowOff>
                  </from>
                  <to>
                    <xdr:col>9</xdr:col>
                    <xdr:colOff>171450</xdr:colOff>
                    <xdr:row>13</xdr:row>
                    <xdr:rowOff>9525</xdr:rowOff>
                  </to>
                </anchor>
              </controlPr>
            </control>
          </mc:Choice>
        </mc:AlternateContent>
        <mc:AlternateContent xmlns:mc="http://schemas.openxmlformats.org/markup-compatibility/2006">
          <mc:Choice Requires="x14">
            <control shapeId="35904" r:id="rId13" name="Drop Down 64">
              <controlPr defaultSize="0" autoLine="0" autoPict="0">
                <anchor moveWithCells="1">
                  <from>
                    <xdr:col>5</xdr:col>
                    <xdr:colOff>47625</xdr:colOff>
                    <xdr:row>13</xdr:row>
                    <xdr:rowOff>38100</xdr:rowOff>
                  </from>
                  <to>
                    <xdr:col>9</xdr:col>
                    <xdr:colOff>171450</xdr:colOff>
                    <xdr:row>14</xdr:row>
                    <xdr:rowOff>47625</xdr:rowOff>
                  </to>
                </anchor>
              </controlPr>
            </control>
          </mc:Choice>
        </mc:AlternateContent>
        <mc:AlternateContent xmlns:mc="http://schemas.openxmlformats.org/markup-compatibility/2006">
          <mc:Choice Requires="x14">
            <control shapeId="35905" r:id="rId14" name="Drop Down 65">
              <controlPr defaultSize="0" autoLine="0" autoPict="0">
                <anchor moveWithCells="1">
                  <from>
                    <xdr:col>7</xdr:col>
                    <xdr:colOff>47625</xdr:colOff>
                    <xdr:row>15</xdr:row>
                    <xdr:rowOff>9525</xdr:rowOff>
                  </from>
                  <to>
                    <xdr:col>12</xdr:col>
                    <xdr:colOff>66675</xdr:colOff>
                    <xdr:row>16</xdr:row>
                    <xdr:rowOff>19050</xdr:rowOff>
                  </to>
                </anchor>
              </controlPr>
            </control>
          </mc:Choice>
        </mc:AlternateContent>
        <mc:AlternateContent xmlns:mc="http://schemas.openxmlformats.org/markup-compatibility/2006">
          <mc:Choice Requires="x14">
            <control shapeId="35906" r:id="rId15" name="Drop Down 66">
              <controlPr defaultSize="0" autoLine="0" autoPict="0">
                <anchor moveWithCells="1">
                  <from>
                    <xdr:col>5</xdr:col>
                    <xdr:colOff>47625</xdr:colOff>
                    <xdr:row>16</xdr:row>
                    <xdr:rowOff>152400</xdr:rowOff>
                  </from>
                  <to>
                    <xdr:col>9</xdr:col>
                    <xdr:colOff>171450</xdr:colOff>
                    <xdr:row>17</xdr:row>
                    <xdr:rowOff>161925</xdr:rowOff>
                  </to>
                </anchor>
              </controlPr>
            </control>
          </mc:Choice>
        </mc:AlternateContent>
        <mc:AlternateContent xmlns:mc="http://schemas.openxmlformats.org/markup-compatibility/2006">
          <mc:Choice Requires="x14">
            <control shapeId="35907" r:id="rId16" name="Drop Down 67">
              <controlPr defaultSize="0" autoLine="0" autoPict="0">
                <anchor moveWithCells="1">
                  <from>
                    <xdr:col>5</xdr:col>
                    <xdr:colOff>47625</xdr:colOff>
                    <xdr:row>18</xdr:row>
                    <xdr:rowOff>9525</xdr:rowOff>
                  </from>
                  <to>
                    <xdr:col>9</xdr:col>
                    <xdr:colOff>171450</xdr:colOff>
                    <xdr:row>19</xdr:row>
                    <xdr:rowOff>19050</xdr:rowOff>
                  </to>
                </anchor>
              </controlPr>
            </control>
          </mc:Choice>
        </mc:AlternateContent>
        <mc:AlternateContent xmlns:mc="http://schemas.openxmlformats.org/markup-compatibility/2006">
          <mc:Choice Requires="x14">
            <control shapeId="35908" r:id="rId17" name="Drop Down 68">
              <controlPr defaultSize="0" autoLine="0" autoPict="0">
                <anchor moveWithCells="1">
                  <from>
                    <xdr:col>5</xdr:col>
                    <xdr:colOff>47625</xdr:colOff>
                    <xdr:row>19</xdr:row>
                    <xdr:rowOff>47625</xdr:rowOff>
                  </from>
                  <to>
                    <xdr:col>9</xdr:col>
                    <xdr:colOff>171450</xdr:colOff>
                    <xdr:row>20</xdr:row>
                    <xdr:rowOff>57150</xdr:rowOff>
                  </to>
                </anchor>
              </controlPr>
            </control>
          </mc:Choice>
        </mc:AlternateContent>
        <mc:AlternateContent xmlns:mc="http://schemas.openxmlformats.org/markup-compatibility/2006">
          <mc:Choice Requires="x14">
            <control shapeId="35909" r:id="rId18" name="Drop Down 69">
              <controlPr defaultSize="0" autoLine="0" autoPict="0">
                <anchor moveWithCells="1">
                  <from>
                    <xdr:col>22</xdr:col>
                    <xdr:colOff>47625</xdr:colOff>
                    <xdr:row>10</xdr:row>
                    <xdr:rowOff>142875</xdr:rowOff>
                  </from>
                  <to>
                    <xdr:col>25</xdr:col>
                    <xdr:colOff>152400</xdr:colOff>
                    <xdr:row>11</xdr:row>
                    <xdr:rowOff>152400</xdr:rowOff>
                  </to>
                </anchor>
              </controlPr>
            </control>
          </mc:Choice>
        </mc:AlternateContent>
        <mc:AlternateContent xmlns:mc="http://schemas.openxmlformats.org/markup-compatibility/2006">
          <mc:Choice Requires="x14">
            <control shapeId="35910" r:id="rId19" name="Drop Down 70">
              <controlPr defaultSize="0" autoLine="0" autoPict="0">
                <anchor moveWithCells="1">
                  <from>
                    <xdr:col>22</xdr:col>
                    <xdr:colOff>47625</xdr:colOff>
                    <xdr:row>12</xdr:row>
                    <xdr:rowOff>0</xdr:rowOff>
                  </from>
                  <to>
                    <xdr:col>25</xdr:col>
                    <xdr:colOff>152400</xdr:colOff>
                    <xdr:row>13</xdr:row>
                    <xdr:rowOff>9525</xdr:rowOff>
                  </to>
                </anchor>
              </controlPr>
            </control>
          </mc:Choice>
        </mc:AlternateContent>
        <mc:AlternateContent xmlns:mc="http://schemas.openxmlformats.org/markup-compatibility/2006">
          <mc:Choice Requires="x14">
            <control shapeId="35911" r:id="rId20" name="Drop Down 71">
              <controlPr defaultSize="0" autoLine="0" autoPict="0">
                <anchor moveWithCells="1">
                  <from>
                    <xdr:col>22</xdr:col>
                    <xdr:colOff>47625</xdr:colOff>
                    <xdr:row>13</xdr:row>
                    <xdr:rowOff>38100</xdr:rowOff>
                  </from>
                  <to>
                    <xdr:col>25</xdr:col>
                    <xdr:colOff>152400</xdr:colOff>
                    <xdr:row>14</xdr:row>
                    <xdr:rowOff>47625</xdr:rowOff>
                  </to>
                </anchor>
              </controlPr>
            </control>
          </mc:Choice>
        </mc:AlternateContent>
        <mc:AlternateContent xmlns:mc="http://schemas.openxmlformats.org/markup-compatibility/2006">
          <mc:Choice Requires="x14">
            <control shapeId="35912" r:id="rId21" name="Drop Down 72">
              <controlPr defaultSize="0" autoLine="0" autoPict="0">
                <anchor moveWithCells="1">
                  <from>
                    <xdr:col>24</xdr:col>
                    <xdr:colOff>47625</xdr:colOff>
                    <xdr:row>15</xdr:row>
                    <xdr:rowOff>9525</xdr:rowOff>
                  </from>
                  <to>
                    <xdr:col>28</xdr:col>
                    <xdr:colOff>28575</xdr:colOff>
                    <xdr:row>16</xdr:row>
                    <xdr:rowOff>19050</xdr:rowOff>
                  </to>
                </anchor>
              </controlPr>
            </control>
          </mc:Choice>
        </mc:AlternateContent>
        <mc:AlternateContent xmlns:mc="http://schemas.openxmlformats.org/markup-compatibility/2006">
          <mc:Choice Requires="x14">
            <control shapeId="35913" r:id="rId22" name="Drop Down 73">
              <controlPr defaultSize="0" autoLine="0" autoPict="0">
                <anchor moveWithCells="1">
                  <from>
                    <xdr:col>22</xdr:col>
                    <xdr:colOff>47625</xdr:colOff>
                    <xdr:row>16</xdr:row>
                    <xdr:rowOff>152400</xdr:rowOff>
                  </from>
                  <to>
                    <xdr:col>25</xdr:col>
                    <xdr:colOff>152400</xdr:colOff>
                    <xdr:row>17</xdr:row>
                    <xdr:rowOff>161925</xdr:rowOff>
                  </to>
                </anchor>
              </controlPr>
            </control>
          </mc:Choice>
        </mc:AlternateContent>
        <mc:AlternateContent xmlns:mc="http://schemas.openxmlformats.org/markup-compatibility/2006">
          <mc:Choice Requires="x14">
            <control shapeId="35914" r:id="rId23" name="Drop Down 74">
              <controlPr defaultSize="0" autoLine="0" autoPict="0">
                <anchor moveWithCells="1">
                  <from>
                    <xdr:col>22</xdr:col>
                    <xdr:colOff>47625</xdr:colOff>
                    <xdr:row>18</xdr:row>
                    <xdr:rowOff>9525</xdr:rowOff>
                  </from>
                  <to>
                    <xdr:col>25</xdr:col>
                    <xdr:colOff>152400</xdr:colOff>
                    <xdr:row>19</xdr:row>
                    <xdr:rowOff>19050</xdr:rowOff>
                  </to>
                </anchor>
              </controlPr>
            </control>
          </mc:Choice>
        </mc:AlternateContent>
        <mc:AlternateContent xmlns:mc="http://schemas.openxmlformats.org/markup-compatibility/2006">
          <mc:Choice Requires="x14">
            <control shapeId="35915" r:id="rId24" name="Drop Down 75">
              <controlPr defaultSize="0" autoLine="0" autoPict="0">
                <anchor moveWithCells="1">
                  <from>
                    <xdr:col>22</xdr:col>
                    <xdr:colOff>47625</xdr:colOff>
                    <xdr:row>19</xdr:row>
                    <xdr:rowOff>47625</xdr:rowOff>
                  </from>
                  <to>
                    <xdr:col>25</xdr:col>
                    <xdr:colOff>152400</xdr:colOff>
                    <xdr:row>20</xdr:row>
                    <xdr:rowOff>57150</xdr:rowOff>
                  </to>
                </anchor>
              </controlPr>
            </control>
          </mc:Choice>
        </mc:AlternateContent>
        <mc:AlternateContent xmlns:mc="http://schemas.openxmlformats.org/markup-compatibility/2006">
          <mc:Choice Requires="x14">
            <control shapeId="35916" r:id="rId25" name="Drop Down 76">
              <controlPr defaultSize="0" autoLine="0" autoPict="0">
                <anchor moveWithCells="1">
                  <from>
                    <xdr:col>5</xdr:col>
                    <xdr:colOff>47625</xdr:colOff>
                    <xdr:row>23</xdr:row>
                    <xdr:rowOff>142875</xdr:rowOff>
                  </from>
                  <to>
                    <xdr:col>9</xdr:col>
                    <xdr:colOff>171450</xdr:colOff>
                    <xdr:row>24</xdr:row>
                    <xdr:rowOff>152400</xdr:rowOff>
                  </to>
                </anchor>
              </controlPr>
            </control>
          </mc:Choice>
        </mc:AlternateContent>
        <mc:AlternateContent xmlns:mc="http://schemas.openxmlformats.org/markup-compatibility/2006">
          <mc:Choice Requires="x14">
            <control shapeId="35917" r:id="rId26" name="Drop Down 77">
              <controlPr defaultSize="0" autoLine="0" autoPict="0">
                <anchor moveWithCells="1">
                  <from>
                    <xdr:col>5</xdr:col>
                    <xdr:colOff>47625</xdr:colOff>
                    <xdr:row>25</xdr:row>
                    <xdr:rowOff>0</xdr:rowOff>
                  </from>
                  <to>
                    <xdr:col>9</xdr:col>
                    <xdr:colOff>171450</xdr:colOff>
                    <xdr:row>26</xdr:row>
                    <xdr:rowOff>9525</xdr:rowOff>
                  </to>
                </anchor>
              </controlPr>
            </control>
          </mc:Choice>
        </mc:AlternateContent>
        <mc:AlternateContent xmlns:mc="http://schemas.openxmlformats.org/markup-compatibility/2006">
          <mc:Choice Requires="x14">
            <control shapeId="35918" r:id="rId27" name="Drop Down 78">
              <controlPr defaultSize="0" autoLine="0" autoPict="0">
                <anchor moveWithCells="1">
                  <from>
                    <xdr:col>5</xdr:col>
                    <xdr:colOff>47625</xdr:colOff>
                    <xdr:row>26</xdr:row>
                    <xdr:rowOff>38100</xdr:rowOff>
                  </from>
                  <to>
                    <xdr:col>9</xdr:col>
                    <xdr:colOff>171450</xdr:colOff>
                    <xdr:row>27</xdr:row>
                    <xdr:rowOff>47625</xdr:rowOff>
                  </to>
                </anchor>
              </controlPr>
            </control>
          </mc:Choice>
        </mc:AlternateContent>
        <mc:AlternateContent xmlns:mc="http://schemas.openxmlformats.org/markup-compatibility/2006">
          <mc:Choice Requires="x14">
            <control shapeId="35919" r:id="rId28" name="Drop Down 79">
              <controlPr defaultSize="0" autoLine="0" autoPict="0">
                <anchor moveWithCells="1">
                  <from>
                    <xdr:col>7</xdr:col>
                    <xdr:colOff>47625</xdr:colOff>
                    <xdr:row>28</xdr:row>
                    <xdr:rowOff>9525</xdr:rowOff>
                  </from>
                  <to>
                    <xdr:col>12</xdr:col>
                    <xdr:colOff>66675</xdr:colOff>
                    <xdr:row>29</xdr:row>
                    <xdr:rowOff>19050</xdr:rowOff>
                  </to>
                </anchor>
              </controlPr>
            </control>
          </mc:Choice>
        </mc:AlternateContent>
        <mc:AlternateContent xmlns:mc="http://schemas.openxmlformats.org/markup-compatibility/2006">
          <mc:Choice Requires="x14">
            <control shapeId="35920" r:id="rId29" name="Drop Down 80">
              <controlPr defaultSize="0" autoLine="0" autoPict="0">
                <anchor moveWithCells="1">
                  <from>
                    <xdr:col>5</xdr:col>
                    <xdr:colOff>47625</xdr:colOff>
                    <xdr:row>29</xdr:row>
                    <xdr:rowOff>152400</xdr:rowOff>
                  </from>
                  <to>
                    <xdr:col>9</xdr:col>
                    <xdr:colOff>171450</xdr:colOff>
                    <xdr:row>30</xdr:row>
                    <xdr:rowOff>161925</xdr:rowOff>
                  </to>
                </anchor>
              </controlPr>
            </control>
          </mc:Choice>
        </mc:AlternateContent>
        <mc:AlternateContent xmlns:mc="http://schemas.openxmlformats.org/markup-compatibility/2006">
          <mc:Choice Requires="x14">
            <control shapeId="35921" r:id="rId30" name="Drop Down 81">
              <controlPr defaultSize="0" autoLine="0" autoPict="0">
                <anchor moveWithCells="1">
                  <from>
                    <xdr:col>5</xdr:col>
                    <xdr:colOff>47625</xdr:colOff>
                    <xdr:row>31</xdr:row>
                    <xdr:rowOff>9525</xdr:rowOff>
                  </from>
                  <to>
                    <xdr:col>9</xdr:col>
                    <xdr:colOff>171450</xdr:colOff>
                    <xdr:row>32</xdr:row>
                    <xdr:rowOff>19050</xdr:rowOff>
                  </to>
                </anchor>
              </controlPr>
            </control>
          </mc:Choice>
        </mc:AlternateContent>
        <mc:AlternateContent xmlns:mc="http://schemas.openxmlformats.org/markup-compatibility/2006">
          <mc:Choice Requires="x14">
            <control shapeId="35922" r:id="rId31" name="Drop Down 82">
              <controlPr defaultSize="0" autoLine="0" autoPict="0">
                <anchor moveWithCells="1">
                  <from>
                    <xdr:col>5</xdr:col>
                    <xdr:colOff>47625</xdr:colOff>
                    <xdr:row>32</xdr:row>
                    <xdr:rowOff>47625</xdr:rowOff>
                  </from>
                  <to>
                    <xdr:col>9</xdr:col>
                    <xdr:colOff>171450</xdr:colOff>
                    <xdr:row>33</xdr:row>
                    <xdr:rowOff>57150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A9F5396F-7D3F-44ED-915D-6D80C20C89DB}">
            <xm:f>IF(VIONARO!$I$10&lt;4,1,0)</xm:f>
            <x14:dxf>
              <font>
                <color theme="0"/>
              </font>
              <fill>
                <patternFill>
                  <bgColor theme="0" tint="-0.34998626667073579"/>
                </patternFill>
              </fill>
            </x14:dxf>
          </x14:cfRule>
          <xm:sqref>S23:AG23</xm:sqref>
        </x14:conditionalFormatting>
        <x14:conditionalFormatting xmlns:xm="http://schemas.microsoft.com/office/excel/2006/main">
          <x14:cfRule type="expression" priority="6" id="{81A871CF-29E0-41D4-930D-940675FF59AE}">
            <xm:f>IF(VIONARO!$I$10&lt;2,1,0)</xm:f>
            <x14:dxf>
              <font>
                <color theme="0"/>
              </font>
              <fill>
                <patternFill>
                  <bgColor theme="0" tint="-0.34998626667073579"/>
                </patternFill>
              </fill>
            </x14:dxf>
          </x14:cfRule>
          <xm:sqref>S10:AG10</xm:sqref>
        </x14:conditionalFormatting>
        <x14:conditionalFormatting xmlns:xm="http://schemas.microsoft.com/office/excel/2006/main">
          <x14:cfRule type="expression" priority="1" id="{C203C32E-C6E8-4211-8FD0-8DC14E7056A6}">
            <xm:f>IF(VIONARO!$I$10&lt;3,1,0)</xm:f>
            <x14:dxf>
              <font>
                <color theme="0"/>
              </font>
              <fill>
                <patternFill>
                  <bgColor theme="0" tint="-0.34998626667073579"/>
                </patternFill>
              </fill>
            </x14:dxf>
          </x14:cfRule>
          <xm:sqref>B23:P23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AZ53"/>
  <sheetViews>
    <sheetView showGridLines="0" showRowColHeaders="0" topLeftCell="A13" zoomScaleNormal="100" workbookViewId="0"/>
  </sheetViews>
  <sheetFormatPr defaultColWidth="3.7109375" defaultRowHeight="15" x14ac:dyDescent="0.25"/>
  <cols>
    <col min="1" max="3" width="3.7109375" style="120" customWidth="1"/>
    <col min="4" max="10" width="3.7109375" style="120"/>
    <col min="11" max="11" width="3.7109375" style="121"/>
    <col min="12" max="12" width="3.7109375" style="120"/>
    <col min="13" max="13" width="3.7109375" style="132"/>
    <col min="14" max="26" width="3.7109375" style="120"/>
    <col min="27" max="27" width="3.7109375" style="133" customWidth="1"/>
    <col min="28" max="32" width="3.7109375" style="120"/>
    <col min="33" max="52" width="3.7109375" style="120" customWidth="1"/>
    <col min="53" max="16384" width="3.7109375" style="120"/>
  </cols>
  <sheetData>
    <row r="1" spans="1:43" x14ac:dyDescent="0.25">
      <c r="A1" s="123"/>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spans="1:43" ht="81.75" customHeight="1" x14ac:dyDescent="0.25">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row>
    <row r="3" spans="1:43" x14ac:dyDescent="0.25">
      <c r="A3" s="123"/>
      <c r="B3" s="123"/>
      <c r="C3" s="123"/>
      <c r="D3" s="123"/>
      <c r="E3" s="123"/>
      <c r="F3" s="123"/>
      <c r="G3" s="123"/>
      <c r="H3" s="123"/>
      <c r="I3" s="123"/>
      <c r="J3" s="123"/>
      <c r="K3" s="123"/>
      <c r="L3" s="123"/>
      <c r="M3" s="123"/>
      <c r="N3" s="123"/>
      <c r="O3" s="123"/>
      <c r="P3" s="123"/>
      <c r="Q3" s="123"/>
      <c r="R3" s="123"/>
      <c r="S3" s="123"/>
      <c r="T3" s="123"/>
      <c r="U3" s="123"/>
      <c r="V3" s="123"/>
      <c r="W3" s="123"/>
      <c r="X3" s="123"/>
      <c r="Y3" s="123"/>
      <c r="AG3" s="135" t="str">
        <f>START!L3</f>
        <v>V3.4</v>
      </c>
    </row>
    <row r="4" spans="1:43" x14ac:dyDescent="0.25">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row>
    <row r="5" spans="1:43" x14ac:dyDescent="0.25">
      <c r="A5" s="123"/>
      <c r="B5" s="123"/>
      <c r="C5" s="123"/>
      <c r="D5" s="123"/>
      <c r="E5" s="123"/>
      <c r="F5" s="123"/>
      <c r="G5" s="123"/>
      <c r="H5" s="123"/>
      <c r="I5" s="123"/>
      <c r="J5" s="123"/>
      <c r="K5" s="123"/>
      <c r="L5" s="123"/>
      <c r="M5" s="123"/>
      <c r="N5" s="123"/>
      <c r="O5" s="123"/>
      <c r="P5" s="123"/>
      <c r="Q5" s="123"/>
      <c r="R5" s="123"/>
      <c r="S5" s="123"/>
      <c r="T5" s="123"/>
      <c r="U5" s="123"/>
      <c r="Z5" s="122"/>
      <c r="AA5" s="217"/>
      <c r="AB5" s="122"/>
      <c r="AC5" s="261" t="str">
        <f>HLOOKUP(VIONARO!I4,Sprachen!A2:K43,32,FALSE)</f>
        <v>Powrót</v>
      </c>
      <c r="AD5" s="261"/>
      <c r="AE5" s="261"/>
      <c r="AF5" s="261"/>
      <c r="AG5" s="261"/>
    </row>
    <row r="6" spans="1:43" ht="15.75" thickBot="1" x14ac:dyDescent="0.3">
      <c r="A6" s="123"/>
      <c r="B6" s="134" t="str">
        <f>HLOOKUP(VIONARO!I4,Sprachen!A2:K43,21,FALSE)</f>
        <v>Dane projektowe</v>
      </c>
      <c r="C6" s="136"/>
      <c r="D6" s="136"/>
      <c r="E6" s="136"/>
      <c r="F6" s="136"/>
      <c r="G6" s="264">
        <f ca="1">TODAY()</f>
        <v>42629</v>
      </c>
      <c r="H6" s="264"/>
      <c r="I6" s="264"/>
      <c r="J6" s="136"/>
      <c r="K6" s="136"/>
      <c r="L6" s="136"/>
      <c r="M6" s="136"/>
      <c r="N6" s="136"/>
      <c r="O6" s="136"/>
      <c r="P6" s="136"/>
      <c r="Q6" s="136"/>
      <c r="R6" s="136"/>
      <c r="S6" s="136"/>
      <c r="T6" s="136"/>
      <c r="U6" s="136"/>
      <c r="V6" s="136"/>
      <c r="W6" s="136"/>
      <c r="X6" s="136"/>
      <c r="Y6" s="136"/>
      <c r="Z6" s="136"/>
      <c r="AA6" s="216"/>
      <c r="AB6" s="143"/>
      <c r="AC6" s="143"/>
      <c r="AD6" s="143"/>
      <c r="AE6" s="143"/>
      <c r="AF6" s="143"/>
      <c r="AG6" s="143"/>
      <c r="AN6" s="122"/>
      <c r="AO6" s="122"/>
      <c r="AP6" s="122"/>
      <c r="AQ6" s="122"/>
    </row>
    <row r="7" spans="1:43" x14ac:dyDescent="0.25">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N7" s="122"/>
      <c r="AO7" s="122"/>
      <c r="AP7" s="122"/>
      <c r="AQ7" s="122"/>
    </row>
    <row r="8" spans="1:43" x14ac:dyDescent="0.25">
      <c r="F8" s="147"/>
      <c r="G8" s="137"/>
      <c r="H8" s="148" t="str">
        <f>HLOOKUP(VIONARO!I4,Sprachen!A2:K43,22,FALSE)</f>
        <v>Wymiary zewnętrzne korpusu</v>
      </c>
      <c r="I8" s="149"/>
      <c r="J8" s="149"/>
      <c r="K8" s="149"/>
      <c r="L8" s="149"/>
      <c r="M8" s="149"/>
      <c r="N8" s="150"/>
      <c r="AN8" s="122"/>
      <c r="AO8" s="142"/>
      <c r="AP8" s="142"/>
      <c r="AQ8" s="142"/>
    </row>
    <row r="9" spans="1:43" x14ac:dyDescent="0.25">
      <c r="E9" s="263"/>
      <c r="F9" s="147"/>
      <c r="G9" s="137"/>
      <c r="H9" s="151" t="str">
        <f>HLOOKUP(VIONARO!I4,Sprachen!A2:K43,23,FALSE)</f>
        <v>Szerokość</v>
      </c>
      <c r="I9" s="151"/>
      <c r="J9" s="151"/>
      <c r="K9" s="151"/>
      <c r="L9" s="153" t="str">
        <f>IF(VIONARO!I7="","",CONCATENATE(VIONARO!I7," MM"))</f>
        <v>600 MM</v>
      </c>
      <c r="M9" s="153"/>
      <c r="N9" s="153"/>
      <c r="AN9" s="122"/>
      <c r="AO9" s="259"/>
      <c r="AP9" s="259"/>
      <c r="AQ9" s="259"/>
    </row>
    <row r="10" spans="1:43" x14ac:dyDescent="0.25">
      <c r="B10" s="138" t="str">
        <f>IF(VIONARO!I10&lt;4,"",VIONARO!H34)</f>
        <v/>
      </c>
      <c r="D10" s="122"/>
      <c r="E10" s="263"/>
      <c r="F10" s="147"/>
      <c r="G10" s="137"/>
      <c r="H10" s="152" t="str">
        <f>HLOOKUP(VIONARO!I4,Sprachen!A2:K43,24,FALSE)</f>
        <v>Wysokość</v>
      </c>
      <c r="I10" s="152"/>
      <c r="J10" s="152"/>
      <c r="K10" s="152"/>
      <c r="L10" s="154" t="str">
        <f>IF(VIONARO!K19="","",CONCATENATE(VIONARO!K19," MM"))</f>
        <v>705 MM</v>
      </c>
      <c r="M10" s="154"/>
      <c r="N10" s="154"/>
      <c r="AN10" s="122"/>
      <c r="AO10" s="122"/>
      <c r="AP10" s="122"/>
      <c r="AQ10" s="122"/>
    </row>
    <row r="11" spans="1:43" x14ac:dyDescent="0.25">
      <c r="B11" s="138"/>
      <c r="D11" s="122"/>
      <c r="E11" s="263"/>
      <c r="F11" s="147"/>
      <c r="G11" s="137"/>
      <c r="H11" s="152" t="str">
        <f>HLOOKUP(VIONARO!I4,Sprachen!A2:K43,25,FALSE)</f>
        <v>Głębokość</v>
      </c>
      <c r="I11" s="152"/>
      <c r="J11" s="152"/>
      <c r="K11" s="152"/>
      <c r="L11" s="154" t="str">
        <f>IF(VIONARO!I8="","",CONCATENATE(VIONARO!I8," MM"))</f>
        <v>508 MM</v>
      </c>
      <c r="M11" s="154"/>
      <c r="N11" s="154"/>
      <c r="AN11" s="122"/>
      <c r="AO11" s="122"/>
      <c r="AP11" s="122"/>
      <c r="AQ11" s="122"/>
    </row>
    <row r="12" spans="1:43" x14ac:dyDescent="0.25">
      <c r="B12" s="138" t="str">
        <f>IF(VIONARO!I10&lt;3,"",VIONARO!H33)</f>
        <v/>
      </c>
      <c r="D12" s="122"/>
      <c r="E12" s="263"/>
      <c r="F12" s="147"/>
      <c r="G12" s="137"/>
      <c r="K12" s="120"/>
      <c r="M12" s="120"/>
      <c r="AN12" s="122"/>
      <c r="AO12" s="122"/>
      <c r="AP12" s="122"/>
      <c r="AQ12" s="122"/>
    </row>
    <row r="13" spans="1:43" x14ac:dyDescent="0.25">
      <c r="B13" s="138"/>
      <c r="D13" s="122"/>
      <c r="E13" s="263"/>
      <c r="F13" s="147"/>
      <c r="G13" s="137"/>
      <c r="K13" s="120"/>
      <c r="M13" s="120"/>
    </row>
    <row r="14" spans="1:43" x14ac:dyDescent="0.25">
      <c r="B14" s="138" t="str">
        <f>IF(VIONARO!I10&lt;2,"",VIONARO!H32)</f>
        <v>587</v>
      </c>
      <c r="D14" s="122"/>
      <c r="E14" s="263"/>
      <c r="F14" s="147"/>
      <c r="G14" s="137"/>
      <c r="K14" s="120"/>
      <c r="M14" s="120"/>
    </row>
    <row r="15" spans="1:43" ht="15" hidden="1" customHeight="1" x14ac:dyDescent="0.25">
      <c r="B15" s="138"/>
      <c r="D15" s="122"/>
      <c r="E15" s="263"/>
      <c r="F15" s="147"/>
      <c r="G15" s="137"/>
      <c r="K15" s="120"/>
      <c r="M15" s="120"/>
    </row>
    <row r="16" spans="1:43" ht="15" hidden="1" customHeight="1" x14ac:dyDescent="0.25">
      <c r="B16" s="139" t="str">
        <f>IF(VIONARO!I10&lt;1,"",VIONARO!H31)</f>
        <v>37 ( 250 )</v>
      </c>
      <c r="D16" s="122"/>
      <c r="E16" s="263"/>
      <c r="F16" s="147"/>
      <c r="G16" s="137"/>
    </row>
    <row r="17" spans="2:52" ht="15" hidden="1" customHeight="1" x14ac:dyDescent="0.25">
      <c r="F17" s="147"/>
      <c r="G17" s="137"/>
    </row>
    <row r="18" spans="2:52" hidden="1" x14ac:dyDescent="0.25">
      <c r="C18" s="140"/>
      <c r="D18" s="140"/>
      <c r="E18" s="140"/>
      <c r="G18" s="140"/>
    </row>
    <row r="19" spans="2:52" ht="18" hidden="1" customHeight="1" x14ac:dyDescent="0.25">
      <c r="F19" s="141"/>
    </row>
    <row r="20" spans="2:52" x14ac:dyDescent="0.25">
      <c r="B20" s="260" t="str">
        <f>Formeln!B96</f>
        <v>Nr artykułu</v>
      </c>
      <c r="C20" s="260"/>
      <c r="D20" s="260"/>
      <c r="E20" s="260"/>
      <c r="F20" s="260"/>
      <c r="G20" s="260"/>
      <c r="H20" s="260"/>
      <c r="I20" s="260" t="str">
        <f>Formeln!C96</f>
        <v>Opis 1</v>
      </c>
      <c r="J20" s="260"/>
      <c r="K20" s="260"/>
      <c r="L20" s="260"/>
      <c r="M20" s="260"/>
      <c r="N20" s="260"/>
      <c r="O20" s="260"/>
      <c r="P20" s="260"/>
      <c r="Q20" s="260"/>
      <c r="R20" s="260"/>
      <c r="S20" s="260"/>
      <c r="T20" s="260" t="str">
        <f>Formeln!D96</f>
        <v>Opis 2</v>
      </c>
      <c r="U20" s="260"/>
      <c r="V20" s="260"/>
      <c r="W20" s="260"/>
      <c r="X20" s="260"/>
      <c r="Y20" s="260"/>
      <c r="Z20" s="260"/>
      <c r="AA20" s="260"/>
      <c r="AB20" s="260"/>
      <c r="AC20" s="260"/>
      <c r="AD20" s="260"/>
      <c r="AE20" s="262" t="str">
        <f>Formeln!E96</f>
        <v>Ilość</v>
      </c>
      <c r="AF20" s="262"/>
      <c r="AG20" s="262"/>
      <c r="AH20"/>
      <c r="AI20"/>
      <c r="AJ20"/>
      <c r="AK20"/>
      <c r="AL20"/>
      <c r="AM20"/>
      <c r="AN20"/>
      <c r="AO20"/>
      <c r="AP20"/>
      <c r="AQ20"/>
      <c r="AR20"/>
      <c r="AS20"/>
      <c r="AT20"/>
      <c r="AU20"/>
      <c r="AV20"/>
      <c r="AW20"/>
      <c r="AX20"/>
      <c r="AY20"/>
      <c r="AZ20"/>
    </row>
    <row r="21" spans="2:52" ht="15" customHeight="1" x14ac:dyDescent="0.25">
      <c r="B21" s="266" t="str">
        <f>Tabelle4!H2</f>
        <v>F135119442</v>
      </c>
      <c r="C21" s="266"/>
      <c r="D21" s="266"/>
      <c r="E21" s="266"/>
      <c r="F21" s="266"/>
      <c r="G21" s="266"/>
      <c r="H21" s="266"/>
      <c r="I21" s="265" t="str">
        <f>Tabelle4!I2</f>
        <v>Vionaro Stahl Zarge H185</v>
      </c>
      <c r="J21" s="265"/>
      <c r="K21" s="265"/>
      <c r="L21" s="265"/>
      <c r="M21" s="265"/>
      <c r="N21" s="265"/>
      <c r="O21" s="265"/>
      <c r="P21" s="265"/>
      <c r="Q21" s="265"/>
      <c r="R21" s="265"/>
      <c r="S21" s="265"/>
      <c r="T21" s="265" t="str">
        <f>Tabelle4!J2</f>
        <v>NL500 graphit  Set VE1/5</v>
      </c>
      <c r="U21" s="265"/>
      <c r="V21" s="265"/>
      <c r="W21" s="265"/>
      <c r="X21" s="265"/>
      <c r="Y21" s="265"/>
      <c r="Z21" s="265"/>
      <c r="AA21" s="265"/>
      <c r="AB21" s="265"/>
      <c r="AC21" s="265"/>
      <c r="AD21" s="265"/>
      <c r="AE21" s="258">
        <f>Tabelle4!K2</f>
        <v>1</v>
      </c>
      <c r="AF21" s="258"/>
      <c r="AG21" s="258"/>
      <c r="AH21" s="213"/>
      <c r="AI21"/>
      <c r="AJ21"/>
      <c r="AK21"/>
      <c r="AL21"/>
      <c r="AM21"/>
      <c r="AN21"/>
      <c r="AO21"/>
      <c r="AP21"/>
      <c r="AQ21"/>
      <c r="AR21"/>
      <c r="AS21"/>
      <c r="AT21"/>
      <c r="AU21"/>
      <c r="AV21"/>
      <c r="AW21"/>
      <c r="AX21"/>
      <c r="AY21"/>
      <c r="AZ21"/>
    </row>
    <row r="22" spans="2:52" ht="15" customHeight="1" x14ac:dyDescent="0.25">
      <c r="B22" s="266" t="str">
        <f>Tabelle4!H3</f>
        <v>F135119433</v>
      </c>
      <c r="C22" s="266"/>
      <c r="D22" s="266"/>
      <c r="E22" s="266"/>
      <c r="F22" s="266"/>
      <c r="G22" s="266"/>
      <c r="H22" s="266"/>
      <c r="I22" s="265" t="str">
        <f>Tabelle4!I3</f>
        <v>Vionaro Stahl Zarge H185</v>
      </c>
      <c r="J22" s="265"/>
      <c r="K22" s="265"/>
      <c r="L22" s="265"/>
      <c r="M22" s="265"/>
      <c r="N22" s="265"/>
      <c r="O22" s="265"/>
      <c r="P22" s="265"/>
      <c r="Q22" s="265"/>
      <c r="R22" s="265"/>
      <c r="S22" s="265"/>
      <c r="T22" s="265" t="str">
        <f>Tabelle4!J3</f>
        <v>NL450 graphit  Set VE1/5</v>
      </c>
      <c r="U22" s="265"/>
      <c r="V22" s="265"/>
      <c r="W22" s="265"/>
      <c r="X22" s="265"/>
      <c r="Y22" s="265"/>
      <c r="Z22" s="265"/>
      <c r="AA22" s="265"/>
      <c r="AB22" s="265"/>
      <c r="AC22" s="265"/>
      <c r="AD22" s="265"/>
      <c r="AE22" s="258">
        <f>Tabelle4!K3</f>
        <v>1</v>
      </c>
      <c r="AF22" s="258"/>
      <c r="AG22" s="258"/>
      <c r="AH22" s="213"/>
      <c r="AI22"/>
      <c r="AJ22"/>
      <c r="AK22"/>
      <c r="AL22"/>
      <c r="AM22"/>
      <c r="AN22"/>
      <c r="AO22"/>
      <c r="AP22"/>
      <c r="AQ22"/>
      <c r="AR22"/>
      <c r="AS22"/>
      <c r="AT22"/>
      <c r="AU22"/>
      <c r="AV22"/>
      <c r="AW22"/>
      <c r="AX22"/>
      <c r="AY22"/>
      <c r="AZ22"/>
    </row>
    <row r="23" spans="2:52" ht="15" customHeight="1" x14ac:dyDescent="0.25">
      <c r="B23" s="266" t="str">
        <f>Tabelle4!H4</f>
        <v>F136100312</v>
      </c>
      <c r="C23" s="266"/>
      <c r="D23" s="266"/>
      <c r="E23" s="266"/>
      <c r="F23" s="266"/>
      <c r="G23" s="266"/>
      <c r="H23" s="266"/>
      <c r="I23" s="265" t="str">
        <f>Tabelle4!I4</f>
        <v>Vionaro Zubehör-Set H185</v>
      </c>
      <c r="J23" s="265"/>
      <c r="K23" s="265"/>
      <c r="L23" s="265"/>
      <c r="M23" s="265"/>
      <c r="N23" s="265"/>
      <c r="O23" s="265"/>
      <c r="P23" s="265"/>
      <c r="Q23" s="265"/>
      <c r="R23" s="265"/>
      <c r="S23" s="265"/>
      <c r="T23" s="265" t="str">
        <f>Tabelle4!J4</f>
        <v>Graphit z. Anschr. VPE 50</v>
      </c>
      <c r="U23" s="265"/>
      <c r="V23" s="265"/>
      <c r="W23" s="265"/>
      <c r="X23" s="265"/>
      <c r="Y23" s="265"/>
      <c r="Z23" s="265"/>
      <c r="AA23" s="265"/>
      <c r="AB23" s="265"/>
      <c r="AC23" s="265"/>
      <c r="AD23" s="265"/>
      <c r="AE23" s="258">
        <f>Tabelle4!K4</f>
        <v>1</v>
      </c>
      <c r="AF23" s="258"/>
      <c r="AG23" s="258"/>
      <c r="AH23" s="213"/>
      <c r="AI23"/>
      <c r="AJ23"/>
      <c r="AK23"/>
      <c r="AL23"/>
      <c r="AM23"/>
      <c r="AN23"/>
      <c r="AO23"/>
      <c r="AP23"/>
      <c r="AQ23"/>
      <c r="AR23"/>
      <c r="AS23"/>
      <c r="AT23"/>
      <c r="AU23"/>
      <c r="AV23"/>
      <c r="AW23"/>
      <c r="AX23"/>
      <c r="AY23"/>
      <c r="AZ23"/>
    </row>
    <row r="24" spans="2:52" ht="15" customHeight="1" x14ac:dyDescent="0.25">
      <c r="B24" s="266" t="str">
        <f>Tabelle4!H5</f>
        <v>F136100319</v>
      </c>
      <c r="C24" s="266"/>
      <c r="D24" s="266"/>
      <c r="E24" s="266"/>
      <c r="F24" s="266"/>
      <c r="G24" s="266"/>
      <c r="H24" s="266"/>
      <c r="I24" s="265" t="str">
        <f>Tabelle4!I5</f>
        <v>Vionaro Zubehör-Set Innenbl.</v>
      </c>
      <c r="J24" s="265"/>
      <c r="K24" s="265"/>
      <c r="L24" s="265"/>
      <c r="M24" s="265"/>
      <c r="N24" s="265"/>
      <c r="O24" s="265"/>
      <c r="P24" s="265"/>
      <c r="Q24" s="265"/>
      <c r="R24" s="265"/>
      <c r="S24" s="265"/>
      <c r="T24" s="265" t="str">
        <f>Tabelle4!J5</f>
        <v>Graphit H185 VPE 50</v>
      </c>
      <c r="U24" s="265"/>
      <c r="V24" s="265"/>
      <c r="W24" s="265"/>
      <c r="X24" s="265"/>
      <c r="Y24" s="265"/>
      <c r="Z24" s="265"/>
      <c r="AA24" s="265"/>
      <c r="AB24" s="265"/>
      <c r="AC24" s="265"/>
      <c r="AD24" s="265"/>
      <c r="AE24" s="258">
        <f>Tabelle4!K5</f>
        <v>1</v>
      </c>
      <c r="AF24" s="258"/>
      <c r="AG24" s="258"/>
      <c r="AH24" s="213"/>
      <c r="AI24"/>
      <c r="AJ24"/>
      <c r="AK24"/>
      <c r="AL24"/>
      <c r="AM24"/>
      <c r="AN24"/>
      <c r="AO24"/>
      <c r="AP24"/>
      <c r="AQ24"/>
      <c r="AR24"/>
      <c r="AS24"/>
      <c r="AT24"/>
      <c r="AU24"/>
      <c r="AV24"/>
      <c r="AW24"/>
      <c r="AX24"/>
      <c r="AY24"/>
      <c r="AZ24"/>
    </row>
    <row r="25" spans="2:52" ht="15" customHeight="1" x14ac:dyDescent="0.25">
      <c r="B25" s="266" t="str">
        <f>Tabelle4!H6</f>
        <v>F136120539</v>
      </c>
      <c r="C25" s="266"/>
      <c r="D25" s="266"/>
      <c r="E25" s="266"/>
      <c r="F25" s="266"/>
      <c r="G25" s="266"/>
      <c r="H25" s="266"/>
      <c r="I25" s="265" t="str">
        <f>Tabelle4!I6</f>
        <v>Vionaro Innenblende H185</v>
      </c>
      <c r="J25" s="265"/>
      <c r="K25" s="265"/>
      <c r="L25" s="265"/>
      <c r="M25" s="265"/>
      <c r="N25" s="265"/>
      <c r="O25" s="265"/>
      <c r="P25" s="265"/>
      <c r="Q25" s="265"/>
      <c r="R25" s="265"/>
      <c r="S25" s="265"/>
      <c r="T25" s="265" t="str">
        <f>Tabelle4!J6</f>
        <v>1160 graphit z. Abläng. VE1/10</v>
      </c>
      <c r="U25" s="265"/>
      <c r="V25" s="265"/>
      <c r="W25" s="265"/>
      <c r="X25" s="265"/>
      <c r="Y25" s="265"/>
      <c r="Z25" s="265"/>
      <c r="AA25" s="265"/>
      <c r="AB25" s="265"/>
      <c r="AC25" s="265"/>
      <c r="AD25" s="265"/>
      <c r="AE25" s="258">
        <f>Tabelle4!K6</f>
        <v>1</v>
      </c>
      <c r="AF25" s="258"/>
      <c r="AG25" s="258"/>
      <c r="AH25" s="213"/>
      <c r="AI25"/>
      <c r="AJ25"/>
      <c r="AK25"/>
      <c r="AL25"/>
      <c r="AM25"/>
      <c r="AN25"/>
      <c r="AO25"/>
      <c r="AP25"/>
      <c r="AQ25"/>
      <c r="AR25"/>
      <c r="AS25"/>
      <c r="AT25"/>
    </row>
    <row r="26" spans="2:52" ht="15" customHeight="1" x14ac:dyDescent="0.25">
      <c r="B26" s="266" t="str">
        <f>Tabelle4!H7</f>
        <v>F130116024</v>
      </c>
      <c r="C26" s="266"/>
      <c r="D26" s="266"/>
      <c r="E26" s="266"/>
      <c r="F26" s="266"/>
      <c r="G26" s="266"/>
      <c r="H26" s="266"/>
      <c r="I26" s="265" t="str">
        <f>Tabelle4!I7</f>
        <v>Dynapro ST LN500 40 3D</v>
      </c>
      <c r="J26" s="265"/>
      <c r="K26" s="265"/>
      <c r="L26" s="265"/>
      <c r="M26" s="265"/>
      <c r="N26" s="265"/>
      <c r="O26" s="265"/>
      <c r="P26" s="265"/>
      <c r="Q26" s="265"/>
      <c r="R26" s="265"/>
      <c r="S26" s="265"/>
      <c r="T26" s="265" t="str">
        <f>Tabelle4!J7</f>
        <v>Soft-Close</v>
      </c>
      <c r="U26" s="265"/>
      <c r="V26" s="265"/>
      <c r="W26" s="265"/>
      <c r="X26" s="265"/>
      <c r="Y26" s="265"/>
      <c r="Z26" s="265"/>
      <c r="AA26" s="265"/>
      <c r="AB26" s="265"/>
      <c r="AC26" s="265"/>
      <c r="AD26" s="265"/>
      <c r="AE26" s="258">
        <f>Tabelle4!K7</f>
        <v>1</v>
      </c>
      <c r="AF26" s="258"/>
      <c r="AG26" s="258"/>
      <c r="AH26" s="213"/>
      <c r="AI26"/>
      <c r="AJ26"/>
      <c r="AK26"/>
      <c r="AL26"/>
      <c r="AM26"/>
      <c r="AN26"/>
      <c r="AO26"/>
      <c r="AP26"/>
      <c r="AQ26"/>
      <c r="AR26"/>
      <c r="AS26"/>
      <c r="AT26"/>
    </row>
    <row r="27" spans="2:52" ht="15" customHeight="1" x14ac:dyDescent="0.25">
      <c r="B27" s="266" t="str">
        <f>Tabelle4!H8</f>
        <v>F130116022</v>
      </c>
      <c r="C27" s="266"/>
      <c r="D27" s="266"/>
      <c r="E27" s="266"/>
      <c r="F27" s="266"/>
      <c r="G27" s="266"/>
      <c r="H27" s="266"/>
      <c r="I27" s="265" t="str">
        <f>Tabelle4!I8</f>
        <v>Dynapro ST LN450 40 3D</v>
      </c>
      <c r="J27" s="265"/>
      <c r="K27" s="265"/>
      <c r="L27" s="265"/>
      <c r="M27" s="265"/>
      <c r="N27" s="265"/>
      <c r="O27" s="265"/>
      <c r="P27" s="265"/>
      <c r="Q27" s="265"/>
      <c r="R27" s="265"/>
      <c r="S27" s="265"/>
      <c r="T27" s="265" t="str">
        <f>Tabelle4!J8</f>
        <v>Soft-Close</v>
      </c>
      <c r="U27" s="265"/>
      <c r="V27" s="265"/>
      <c r="W27" s="265"/>
      <c r="X27" s="265"/>
      <c r="Y27" s="265"/>
      <c r="Z27" s="265"/>
      <c r="AA27" s="265"/>
      <c r="AB27" s="265"/>
      <c r="AC27" s="265"/>
      <c r="AD27" s="265"/>
      <c r="AE27" s="258">
        <f>Tabelle4!K8</f>
        <v>1</v>
      </c>
      <c r="AF27" s="258"/>
      <c r="AG27" s="258"/>
      <c r="AH27"/>
      <c r="AI27"/>
      <c r="AJ27"/>
      <c r="AK27"/>
      <c r="AL27"/>
      <c r="AM27"/>
      <c r="AN27"/>
      <c r="AO27"/>
      <c r="AP27"/>
      <c r="AQ27"/>
      <c r="AR27"/>
      <c r="AS27"/>
      <c r="AT27"/>
    </row>
    <row r="28" spans="2:52" ht="15" customHeight="1" x14ac:dyDescent="0.25">
      <c r="B28" s="266" t="str">
        <f>Tabelle4!H9</f>
        <v>F135119333</v>
      </c>
      <c r="C28" s="266"/>
      <c r="D28" s="266"/>
      <c r="E28" s="266"/>
      <c r="F28" s="266"/>
      <c r="G28" s="266"/>
      <c r="H28" s="266"/>
      <c r="I28" s="265" t="str">
        <f>Tabelle4!I9</f>
        <v>Vionaro Stahl Zarge H89</v>
      </c>
      <c r="J28" s="265"/>
      <c r="K28" s="265"/>
      <c r="L28" s="265"/>
      <c r="M28" s="265"/>
      <c r="N28" s="265"/>
      <c r="O28" s="265"/>
      <c r="P28" s="265"/>
      <c r="Q28" s="265"/>
      <c r="R28" s="265"/>
      <c r="S28" s="265"/>
      <c r="T28" s="265" t="str">
        <f>Tabelle4!J9</f>
        <v>NL500 graphit  Set VE1/5</v>
      </c>
      <c r="U28" s="265"/>
      <c r="V28" s="265"/>
      <c r="W28" s="265"/>
      <c r="X28" s="265"/>
      <c r="Y28" s="265"/>
      <c r="Z28" s="265"/>
      <c r="AA28" s="265"/>
      <c r="AB28" s="265"/>
      <c r="AC28" s="265"/>
      <c r="AD28" s="265"/>
      <c r="AE28" s="258">
        <f>Tabelle4!K9</f>
        <v>1</v>
      </c>
      <c r="AF28" s="258"/>
      <c r="AG28" s="258"/>
      <c r="AH28"/>
      <c r="AI28"/>
      <c r="AJ28"/>
      <c r="AK28"/>
      <c r="AL28"/>
      <c r="AM28"/>
      <c r="AN28"/>
      <c r="AO28"/>
      <c r="AP28"/>
      <c r="AQ28"/>
      <c r="AR28"/>
      <c r="AS28"/>
      <c r="AT28"/>
    </row>
    <row r="29" spans="2:52" ht="15" customHeight="1" x14ac:dyDescent="0.25">
      <c r="B29" s="266" t="str">
        <f>Tabelle4!H10</f>
        <v>F136100123</v>
      </c>
      <c r="C29" s="266"/>
      <c r="D29" s="266"/>
      <c r="E29" s="266"/>
      <c r="F29" s="266"/>
      <c r="G29" s="266"/>
      <c r="H29" s="266"/>
      <c r="I29" s="265" t="str">
        <f>Tabelle4!I10</f>
        <v>Vionaro Zubehör-Set H89</v>
      </c>
      <c r="J29" s="265"/>
      <c r="K29" s="265"/>
      <c r="L29" s="265"/>
      <c r="M29" s="265"/>
      <c r="N29" s="265"/>
      <c r="O29" s="265"/>
      <c r="P29" s="265"/>
      <c r="Q29" s="265"/>
      <c r="R29" s="265"/>
      <c r="S29" s="265"/>
      <c r="T29" s="265" t="str">
        <f>Tabelle4!J10</f>
        <v>Graphit z. Anschr. VPE 50</v>
      </c>
      <c r="U29" s="265"/>
      <c r="V29" s="265"/>
      <c r="W29" s="265"/>
      <c r="X29" s="265"/>
      <c r="Y29" s="265"/>
      <c r="Z29" s="265"/>
      <c r="AA29" s="265"/>
      <c r="AB29" s="265"/>
      <c r="AC29" s="265"/>
      <c r="AD29" s="265"/>
      <c r="AE29" s="258">
        <f>Tabelle4!K10</f>
        <v>1</v>
      </c>
      <c r="AF29" s="258"/>
      <c r="AG29" s="258"/>
      <c r="AH29"/>
      <c r="AI29"/>
    </row>
    <row r="30" spans="2:52" ht="15" customHeight="1" x14ac:dyDescent="0.25">
      <c r="B30" s="266" t="str">
        <f>Tabelle4!H11</f>
        <v>F130116024</v>
      </c>
      <c r="C30" s="266"/>
      <c r="D30" s="266"/>
      <c r="E30" s="266"/>
      <c r="F30" s="266"/>
      <c r="G30" s="266"/>
      <c r="H30" s="266"/>
      <c r="I30" s="265" t="str">
        <f>Tabelle4!I11</f>
        <v>Dynapro ST LN500 40 3D</v>
      </c>
      <c r="J30" s="265"/>
      <c r="K30" s="265"/>
      <c r="L30" s="265"/>
      <c r="M30" s="265"/>
      <c r="N30" s="265"/>
      <c r="O30" s="265"/>
      <c r="P30" s="265"/>
      <c r="Q30" s="265"/>
      <c r="R30" s="265"/>
      <c r="S30" s="265"/>
      <c r="T30" s="265" t="str">
        <f>Tabelle4!J11</f>
        <v>Soft-Close</v>
      </c>
      <c r="U30" s="265"/>
      <c r="V30" s="265"/>
      <c r="W30" s="265"/>
      <c r="X30" s="265"/>
      <c r="Y30" s="265"/>
      <c r="Z30" s="265"/>
      <c r="AA30" s="265"/>
      <c r="AB30" s="265"/>
      <c r="AC30" s="265"/>
      <c r="AD30" s="265"/>
      <c r="AE30" s="258">
        <f>Tabelle4!K11</f>
        <v>1</v>
      </c>
      <c r="AF30" s="258"/>
      <c r="AG30" s="258"/>
      <c r="AH30"/>
      <c r="AI30"/>
    </row>
    <row r="31" spans="2:52" ht="15" customHeight="1" x14ac:dyDescent="0.25">
      <c r="B31" s="266" t="str">
        <f>Tabelle4!H12</f>
        <v/>
      </c>
      <c r="C31" s="266"/>
      <c r="D31" s="266"/>
      <c r="E31" s="266"/>
      <c r="F31" s="266"/>
      <c r="G31" s="266"/>
      <c r="H31" s="266"/>
      <c r="I31" s="265" t="str">
        <f>Tabelle4!I12</f>
        <v/>
      </c>
      <c r="J31" s="265"/>
      <c r="K31" s="265"/>
      <c r="L31" s="265"/>
      <c r="M31" s="265"/>
      <c r="N31" s="265"/>
      <c r="O31" s="265"/>
      <c r="P31" s="265"/>
      <c r="Q31" s="265"/>
      <c r="R31" s="265"/>
      <c r="S31" s="265"/>
      <c r="T31" s="265" t="str">
        <f>Tabelle4!J12</f>
        <v/>
      </c>
      <c r="U31" s="265"/>
      <c r="V31" s="265"/>
      <c r="W31" s="265"/>
      <c r="X31" s="265"/>
      <c r="Y31" s="265"/>
      <c r="Z31" s="265"/>
      <c r="AA31" s="265"/>
      <c r="AB31" s="265"/>
      <c r="AC31" s="265"/>
      <c r="AD31" s="265"/>
      <c r="AE31" s="258" t="str">
        <f>Tabelle4!K12</f>
        <v/>
      </c>
      <c r="AF31" s="258"/>
      <c r="AG31" s="258"/>
      <c r="AH31"/>
      <c r="AI31"/>
    </row>
    <row r="32" spans="2:52" ht="15" customHeight="1" x14ac:dyDescent="0.25">
      <c r="B32" s="266" t="str">
        <f>Tabelle4!H13</f>
        <v/>
      </c>
      <c r="C32" s="266"/>
      <c r="D32" s="266"/>
      <c r="E32" s="266"/>
      <c r="F32" s="266"/>
      <c r="G32" s="266"/>
      <c r="H32" s="266"/>
      <c r="I32" s="265" t="str">
        <f>Tabelle4!I13</f>
        <v/>
      </c>
      <c r="J32" s="265"/>
      <c r="K32" s="265"/>
      <c r="L32" s="265"/>
      <c r="M32" s="265"/>
      <c r="N32" s="265"/>
      <c r="O32" s="265"/>
      <c r="P32" s="265"/>
      <c r="Q32" s="265"/>
      <c r="R32" s="265"/>
      <c r="S32" s="265"/>
      <c r="T32" s="265" t="str">
        <f>Tabelle4!J13</f>
        <v/>
      </c>
      <c r="U32" s="265"/>
      <c r="V32" s="265"/>
      <c r="W32" s="265"/>
      <c r="X32" s="265"/>
      <c r="Y32" s="265"/>
      <c r="Z32" s="265"/>
      <c r="AA32" s="265"/>
      <c r="AB32" s="265"/>
      <c r="AC32" s="265"/>
      <c r="AD32" s="265"/>
      <c r="AE32" s="258" t="str">
        <f>Tabelle4!K13</f>
        <v/>
      </c>
      <c r="AF32" s="258"/>
      <c r="AG32" s="258"/>
      <c r="AH32"/>
      <c r="AI32"/>
    </row>
    <row r="33" spans="2:35" ht="15" customHeight="1" x14ac:dyDescent="0.25">
      <c r="B33" s="266" t="str">
        <f>Tabelle4!H14</f>
        <v/>
      </c>
      <c r="C33" s="266"/>
      <c r="D33" s="266"/>
      <c r="E33" s="266"/>
      <c r="F33" s="266"/>
      <c r="G33" s="266"/>
      <c r="H33" s="266"/>
      <c r="I33" s="265" t="str">
        <f>Tabelle4!I14</f>
        <v/>
      </c>
      <c r="J33" s="265"/>
      <c r="K33" s="265"/>
      <c r="L33" s="265"/>
      <c r="M33" s="265"/>
      <c r="N33" s="265"/>
      <c r="O33" s="265"/>
      <c r="P33" s="265"/>
      <c r="Q33" s="265"/>
      <c r="R33" s="265"/>
      <c r="S33" s="265"/>
      <c r="T33" s="265" t="str">
        <f>Tabelle4!J14</f>
        <v/>
      </c>
      <c r="U33" s="265"/>
      <c r="V33" s="265"/>
      <c r="W33" s="265"/>
      <c r="X33" s="265"/>
      <c r="Y33" s="265"/>
      <c r="Z33" s="265"/>
      <c r="AA33" s="265"/>
      <c r="AB33" s="265"/>
      <c r="AC33" s="265"/>
      <c r="AD33" s="265"/>
      <c r="AE33" s="258" t="str">
        <f>Tabelle4!K14</f>
        <v/>
      </c>
      <c r="AF33" s="258"/>
      <c r="AG33" s="258"/>
      <c r="AH33"/>
      <c r="AI33"/>
    </row>
    <row r="34" spans="2:35" ht="15" customHeight="1" x14ac:dyDescent="0.25">
      <c r="B34" s="266" t="str">
        <f>Tabelle4!H15</f>
        <v/>
      </c>
      <c r="C34" s="266"/>
      <c r="D34" s="266"/>
      <c r="E34" s="266"/>
      <c r="F34" s="266"/>
      <c r="G34" s="266"/>
      <c r="H34" s="266"/>
      <c r="I34" s="265" t="str">
        <f>Tabelle4!I15</f>
        <v/>
      </c>
      <c r="J34" s="265"/>
      <c r="K34" s="265"/>
      <c r="L34" s="265"/>
      <c r="M34" s="265"/>
      <c r="N34" s="265"/>
      <c r="O34" s="265"/>
      <c r="P34" s="265"/>
      <c r="Q34" s="265"/>
      <c r="R34" s="265"/>
      <c r="S34" s="265"/>
      <c r="T34" s="265" t="str">
        <f>Tabelle4!J15</f>
        <v/>
      </c>
      <c r="U34" s="265"/>
      <c r="V34" s="265"/>
      <c r="W34" s="265"/>
      <c r="X34" s="265"/>
      <c r="Y34" s="265"/>
      <c r="Z34" s="265"/>
      <c r="AA34" s="265"/>
      <c r="AB34" s="265"/>
      <c r="AC34" s="265"/>
      <c r="AD34" s="265"/>
      <c r="AE34" s="258" t="str">
        <f>Tabelle4!K15</f>
        <v/>
      </c>
      <c r="AF34" s="258"/>
      <c r="AG34" s="258"/>
      <c r="AH34"/>
      <c r="AI34"/>
    </row>
    <row r="35" spans="2:35" ht="15" customHeight="1" x14ac:dyDescent="0.25">
      <c r="B35" s="266" t="str">
        <f>Tabelle4!H16</f>
        <v/>
      </c>
      <c r="C35" s="266"/>
      <c r="D35" s="266"/>
      <c r="E35" s="266"/>
      <c r="F35" s="266"/>
      <c r="G35" s="266"/>
      <c r="H35" s="266"/>
      <c r="I35" s="265" t="str">
        <f>Tabelle4!I16</f>
        <v/>
      </c>
      <c r="J35" s="265"/>
      <c r="K35" s="265"/>
      <c r="L35" s="265"/>
      <c r="M35" s="265"/>
      <c r="N35" s="265"/>
      <c r="O35" s="265"/>
      <c r="P35" s="265"/>
      <c r="Q35" s="265"/>
      <c r="R35" s="265"/>
      <c r="S35" s="265"/>
      <c r="T35" s="265" t="str">
        <f>Tabelle4!J16</f>
        <v/>
      </c>
      <c r="U35" s="265"/>
      <c r="V35" s="265"/>
      <c r="W35" s="265"/>
      <c r="X35" s="265"/>
      <c r="Y35" s="265"/>
      <c r="Z35" s="265"/>
      <c r="AA35" s="265"/>
      <c r="AB35" s="265"/>
      <c r="AC35" s="265"/>
      <c r="AD35" s="265"/>
      <c r="AE35" s="258" t="str">
        <f>Tabelle4!K16</f>
        <v/>
      </c>
      <c r="AF35" s="258"/>
      <c r="AG35" s="258"/>
      <c r="AH35"/>
      <c r="AI35"/>
    </row>
    <row r="36" spans="2:35" ht="15" customHeight="1" x14ac:dyDescent="0.25">
      <c r="B36" s="266" t="str">
        <f>Tabelle4!H17</f>
        <v/>
      </c>
      <c r="C36" s="266"/>
      <c r="D36" s="266"/>
      <c r="E36" s="266"/>
      <c r="F36" s="266"/>
      <c r="G36" s="266"/>
      <c r="H36" s="266"/>
      <c r="I36" s="265" t="str">
        <f>Tabelle4!I17</f>
        <v/>
      </c>
      <c r="J36" s="265"/>
      <c r="K36" s="265"/>
      <c r="L36" s="265"/>
      <c r="M36" s="265"/>
      <c r="N36" s="265"/>
      <c r="O36" s="265"/>
      <c r="P36" s="265"/>
      <c r="Q36" s="265"/>
      <c r="R36" s="265"/>
      <c r="S36" s="265"/>
      <c r="T36" s="265" t="str">
        <f>Tabelle4!J17</f>
        <v/>
      </c>
      <c r="U36" s="265"/>
      <c r="V36" s="265"/>
      <c r="W36" s="265"/>
      <c r="X36" s="265"/>
      <c r="Y36" s="265"/>
      <c r="Z36" s="265"/>
      <c r="AA36" s="265"/>
      <c r="AB36" s="265"/>
      <c r="AC36" s="265"/>
      <c r="AD36" s="265"/>
      <c r="AE36" s="258" t="str">
        <f>Tabelle4!K17</f>
        <v/>
      </c>
      <c r="AF36" s="258"/>
      <c r="AG36" s="258"/>
    </row>
    <row r="37" spans="2:35" ht="15" customHeight="1" x14ac:dyDescent="0.25">
      <c r="B37" s="266" t="str">
        <f>Tabelle4!H18</f>
        <v/>
      </c>
      <c r="C37" s="266"/>
      <c r="D37" s="266"/>
      <c r="E37" s="266"/>
      <c r="F37" s="266"/>
      <c r="G37" s="266"/>
      <c r="H37" s="266"/>
      <c r="I37" s="265" t="str">
        <f>Tabelle4!I18</f>
        <v/>
      </c>
      <c r="J37" s="265"/>
      <c r="K37" s="265"/>
      <c r="L37" s="265"/>
      <c r="M37" s="265"/>
      <c r="N37" s="265"/>
      <c r="O37" s="265"/>
      <c r="P37" s="265"/>
      <c r="Q37" s="265"/>
      <c r="R37" s="265"/>
      <c r="S37" s="265"/>
      <c r="T37" s="265" t="str">
        <f>Tabelle4!J18</f>
        <v/>
      </c>
      <c r="U37" s="265"/>
      <c r="V37" s="265"/>
      <c r="W37" s="265"/>
      <c r="X37" s="265"/>
      <c r="Y37" s="265"/>
      <c r="Z37" s="265"/>
      <c r="AA37" s="265"/>
      <c r="AB37" s="265"/>
      <c r="AC37" s="265"/>
      <c r="AD37" s="265"/>
      <c r="AE37" s="258" t="str">
        <f>Tabelle4!K18</f>
        <v/>
      </c>
      <c r="AF37" s="258"/>
      <c r="AG37" s="258"/>
    </row>
    <row r="38" spans="2:35" ht="15" customHeight="1" x14ac:dyDescent="0.25">
      <c r="B38" s="266" t="str">
        <f>Tabelle4!H19</f>
        <v/>
      </c>
      <c r="C38" s="266"/>
      <c r="D38" s="266"/>
      <c r="E38" s="266"/>
      <c r="F38" s="266"/>
      <c r="G38" s="266"/>
      <c r="H38" s="266"/>
      <c r="I38" s="265" t="str">
        <f>Tabelle4!I19</f>
        <v/>
      </c>
      <c r="J38" s="265"/>
      <c r="K38" s="265"/>
      <c r="L38" s="265"/>
      <c r="M38" s="265"/>
      <c r="N38" s="265"/>
      <c r="O38" s="265"/>
      <c r="P38" s="265"/>
      <c r="Q38" s="265"/>
      <c r="R38" s="265"/>
      <c r="S38" s="265"/>
      <c r="T38" s="265" t="str">
        <f>Tabelle4!J19</f>
        <v/>
      </c>
      <c r="U38" s="265"/>
      <c r="V38" s="265"/>
      <c r="W38" s="265"/>
      <c r="X38" s="265"/>
      <c r="Y38" s="265"/>
      <c r="Z38" s="265"/>
      <c r="AA38" s="265"/>
      <c r="AB38" s="265"/>
      <c r="AC38" s="265"/>
      <c r="AD38" s="265"/>
      <c r="AE38" s="258" t="str">
        <f>Tabelle4!K19</f>
        <v/>
      </c>
      <c r="AF38" s="258"/>
      <c r="AG38" s="258"/>
    </row>
    <row r="39" spans="2:35" ht="15" customHeight="1" x14ac:dyDescent="0.25">
      <c r="B39" s="266" t="str">
        <f>Tabelle4!H20</f>
        <v/>
      </c>
      <c r="C39" s="266"/>
      <c r="D39" s="266"/>
      <c r="E39" s="266"/>
      <c r="F39" s="266"/>
      <c r="G39" s="266"/>
      <c r="H39" s="266"/>
      <c r="I39" s="265" t="str">
        <f>Tabelle4!I20</f>
        <v/>
      </c>
      <c r="J39" s="265"/>
      <c r="K39" s="265"/>
      <c r="L39" s="265"/>
      <c r="M39" s="265"/>
      <c r="N39" s="265"/>
      <c r="O39" s="265"/>
      <c r="P39" s="265"/>
      <c r="Q39" s="265"/>
      <c r="R39" s="265"/>
      <c r="S39" s="265"/>
      <c r="T39" s="265" t="str">
        <f>Tabelle4!J20</f>
        <v/>
      </c>
      <c r="U39" s="265"/>
      <c r="V39" s="265"/>
      <c r="W39" s="265"/>
      <c r="X39" s="265"/>
      <c r="Y39" s="265"/>
      <c r="Z39" s="265"/>
      <c r="AA39" s="265"/>
      <c r="AB39" s="265"/>
      <c r="AC39" s="265"/>
      <c r="AD39" s="265"/>
      <c r="AE39" s="258" t="str">
        <f>Tabelle4!K20</f>
        <v/>
      </c>
      <c r="AF39" s="258"/>
      <c r="AG39" s="258"/>
    </row>
    <row r="40" spans="2:35" ht="15" customHeight="1" x14ac:dyDescent="0.25">
      <c r="B40" s="266" t="str">
        <f>Tabelle4!H21</f>
        <v/>
      </c>
      <c r="C40" s="266"/>
      <c r="D40" s="266"/>
      <c r="E40" s="266"/>
      <c r="F40" s="266"/>
      <c r="G40" s="266"/>
      <c r="H40" s="266"/>
      <c r="I40" s="265" t="str">
        <f>Tabelle4!I21</f>
        <v/>
      </c>
      <c r="J40" s="265"/>
      <c r="K40" s="265"/>
      <c r="L40" s="265"/>
      <c r="M40" s="265"/>
      <c r="N40" s="265"/>
      <c r="O40" s="265"/>
      <c r="P40" s="265"/>
      <c r="Q40" s="265"/>
      <c r="R40" s="265"/>
      <c r="S40" s="265"/>
      <c r="T40" s="265" t="str">
        <f>Tabelle4!J21</f>
        <v/>
      </c>
      <c r="U40" s="265"/>
      <c r="V40" s="265"/>
      <c r="W40" s="265"/>
      <c r="X40" s="265"/>
      <c r="Y40" s="265"/>
      <c r="Z40" s="265"/>
      <c r="AA40" s="265"/>
      <c r="AB40" s="265"/>
      <c r="AC40" s="265"/>
      <c r="AD40" s="265"/>
      <c r="AE40" s="258" t="str">
        <f>Tabelle4!K21</f>
        <v/>
      </c>
      <c r="AF40" s="258"/>
      <c r="AG40" s="258"/>
    </row>
    <row r="41" spans="2:35" ht="15" customHeight="1" x14ac:dyDescent="0.25">
      <c r="B41" s="266" t="str">
        <f>Tabelle4!H22</f>
        <v/>
      </c>
      <c r="C41" s="266"/>
      <c r="D41" s="266"/>
      <c r="E41" s="266"/>
      <c r="F41" s="266"/>
      <c r="G41" s="266"/>
      <c r="H41" s="266"/>
      <c r="I41" s="265" t="str">
        <f>Tabelle4!I22</f>
        <v/>
      </c>
      <c r="J41" s="265"/>
      <c r="K41" s="265"/>
      <c r="L41" s="265"/>
      <c r="M41" s="265"/>
      <c r="N41" s="265"/>
      <c r="O41" s="265"/>
      <c r="P41" s="265"/>
      <c r="Q41" s="265"/>
      <c r="R41" s="265"/>
      <c r="S41" s="265"/>
      <c r="T41" s="265" t="str">
        <f>Tabelle4!J22</f>
        <v/>
      </c>
      <c r="U41" s="265"/>
      <c r="V41" s="265"/>
      <c r="W41" s="265"/>
      <c r="X41" s="265"/>
      <c r="Y41" s="265"/>
      <c r="Z41" s="265"/>
      <c r="AA41" s="265"/>
      <c r="AB41" s="265"/>
      <c r="AC41" s="265"/>
      <c r="AD41" s="265"/>
      <c r="AE41" s="258" t="str">
        <f>Tabelle4!K22</f>
        <v/>
      </c>
      <c r="AF41" s="258"/>
      <c r="AG41" s="258"/>
    </row>
    <row r="42" spans="2:35" x14ac:dyDescent="0.25">
      <c r="B42" s="266" t="str">
        <f>Tabelle4!H23</f>
        <v/>
      </c>
      <c r="C42" s="266"/>
      <c r="D42" s="266"/>
      <c r="E42" s="266"/>
      <c r="F42" s="266"/>
      <c r="G42" s="266"/>
      <c r="H42" s="266"/>
      <c r="I42" s="265" t="str">
        <f>Tabelle4!I23</f>
        <v/>
      </c>
      <c r="J42" s="265"/>
      <c r="K42" s="265"/>
      <c r="L42" s="265"/>
      <c r="M42" s="265"/>
      <c r="N42" s="265"/>
      <c r="O42" s="265"/>
      <c r="P42" s="265"/>
      <c r="Q42" s="265"/>
      <c r="R42" s="265"/>
      <c r="S42" s="265"/>
      <c r="T42" s="265" t="str">
        <f>Tabelle4!J23</f>
        <v/>
      </c>
      <c r="U42" s="265"/>
      <c r="V42" s="265"/>
      <c r="W42" s="265"/>
      <c r="X42" s="265"/>
      <c r="Y42" s="265"/>
      <c r="Z42" s="265"/>
      <c r="AA42" s="265"/>
      <c r="AB42" s="265"/>
      <c r="AC42" s="265"/>
      <c r="AD42" s="265"/>
      <c r="AE42" s="258" t="str">
        <f>Tabelle4!K23</f>
        <v/>
      </c>
      <c r="AF42" s="258"/>
      <c r="AG42" s="258"/>
    </row>
    <row r="43" spans="2:35" s="132" customFormat="1" x14ac:dyDescent="0.25">
      <c r="B43" s="266" t="str">
        <f>Tabelle4!H24</f>
        <v/>
      </c>
      <c r="C43" s="266"/>
      <c r="D43" s="266"/>
      <c r="E43" s="266"/>
      <c r="F43" s="266"/>
      <c r="G43" s="266"/>
      <c r="H43" s="266"/>
      <c r="I43" s="265" t="str">
        <f>Tabelle4!I24</f>
        <v/>
      </c>
      <c r="J43" s="265"/>
      <c r="K43" s="265"/>
      <c r="L43" s="265"/>
      <c r="M43" s="265"/>
      <c r="N43" s="265"/>
      <c r="O43" s="265"/>
      <c r="P43" s="265"/>
      <c r="Q43" s="265"/>
      <c r="R43" s="265"/>
      <c r="S43" s="265"/>
      <c r="T43" s="265" t="str">
        <f>Tabelle4!J24</f>
        <v/>
      </c>
      <c r="U43" s="265"/>
      <c r="V43" s="265"/>
      <c r="W43" s="265"/>
      <c r="X43" s="265"/>
      <c r="Y43" s="265"/>
      <c r="Z43" s="265"/>
      <c r="AA43" s="265"/>
      <c r="AB43" s="265"/>
      <c r="AC43" s="265"/>
      <c r="AD43" s="265"/>
      <c r="AE43" s="258" t="str">
        <f>Tabelle4!K24</f>
        <v/>
      </c>
      <c r="AF43" s="258"/>
      <c r="AG43" s="258"/>
    </row>
    <row r="44" spans="2:35" x14ac:dyDescent="0.25">
      <c r="B44" s="266" t="str">
        <f>Tabelle4!H25</f>
        <v/>
      </c>
      <c r="C44" s="266"/>
      <c r="D44" s="266"/>
      <c r="E44" s="266"/>
      <c r="F44" s="266"/>
      <c r="G44" s="266"/>
      <c r="H44" s="266"/>
      <c r="I44" s="265" t="str">
        <f>Tabelle4!I25</f>
        <v/>
      </c>
      <c r="J44" s="265"/>
      <c r="K44" s="265"/>
      <c r="L44" s="265"/>
      <c r="M44" s="265"/>
      <c r="N44" s="265"/>
      <c r="O44" s="265"/>
      <c r="P44" s="265"/>
      <c r="Q44" s="265"/>
      <c r="R44" s="265"/>
      <c r="S44" s="265"/>
      <c r="T44" s="265" t="str">
        <f>Tabelle4!J25</f>
        <v/>
      </c>
      <c r="U44" s="265"/>
      <c r="V44" s="265"/>
      <c r="W44" s="265"/>
      <c r="X44" s="265"/>
      <c r="Y44" s="265"/>
      <c r="Z44" s="265"/>
      <c r="AA44" s="265"/>
      <c r="AB44" s="265"/>
      <c r="AC44" s="265"/>
      <c r="AD44" s="265"/>
      <c r="AE44" s="258" t="str">
        <f>Tabelle4!K25</f>
        <v/>
      </c>
      <c r="AF44" s="258"/>
      <c r="AG44" s="258"/>
    </row>
    <row r="45" spans="2:35" s="132" customFormat="1" x14ac:dyDescent="0.25">
      <c r="B45" s="266" t="str">
        <f>Tabelle4!H26</f>
        <v/>
      </c>
      <c r="C45" s="266"/>
      <c r="D45" s="266"/>
      <c r="E45" s="266"/>
      <c r="F45" s="266"/>
      <c r="G45" s="266"/>
      <c r="H45" s="266"/>
      <c r="I45" s="265" t="str">
        <f>Tabelle4!I26</f>
        <v/>
      </c>
      <c r="J45" s="265"/>
      <c r="K45" s="265"/>
      <c r="L45" s="265"/>
      <c r="M45" s="265"/>
      <c r="N45" s="265"/>
      <c r="O45" s="265"/>
      <c r="P45" s="265"/>
      <c r="Q45" s="265"/>
      <c r="R45" s="265"/>
      <c r="S45" s="265"/>
      <c r="T45" s="265" t="str">
        <f>Tabelle4!J26</f>
        <v/>
      </c>
      <c r="U45" s="265"/>
      <c r="V45" s="265"/>
      <c r="W45" s="265"/>
      <c r="X45" s="265"/>
      <c r="Y45" s="265"/>
      <c r="Z45" s="265"/>
      <c r="AA45" s="265"/>
      <c r="AB45" s="265"/>
      <c r="AC45" s="265"/>
      <c r="AD45" s="265"/>
      <c r="AE45" s="258" t="str">
        <f>Tabelle4!K26</f>
        <v/>
      </c>
      <c r="AF45" s="258"/>
      <c r="AG45" s="258"/>
    </row>
    <row r="46" spans="2:35" s="132" customFormat="1" x14ac:dyDescent="0.25">
      <c r="B46" s="266" t="str">
        <f>Tabelle4!H27</f>
        <v/>
      </c>
      <c r="C46" s="266"/>
      <c r="D46" s="266"/>
      <c r="E46" s="266"/>
      <c r="F46" s="266"/>
      <c r="G46" s="266"/>
      <c r="H46" s="266"/>
      <c r="I46" s="265" t="str">
        <f>Tabelle4!I27</f>
        <v/>
      </c>
      <c r="J46" s="265"/>
      <c r="K46" s="265"/>
      <c r="L46" s="265"/>
      <c r="M46" s="265"/>
      <c r="N46" s="265"/>
      <c r="O46" s="265"/>
      <c r="P46" s="265"/>
      <c r="Q46" s="265"/>
      <c r="R46" s="265"/>
      <c r="S46" s="265"/>
      <c r="T46" s="265" t="str">
        <f>Tabelle4!J27</f>
        <v/>
      </c>
      <c r="U46" s="265"/>
      <c r="V46" s="265"/>
      <c r="W46" s="265"/>
      <c r="X46" s="265"/>
      <c r="Y46" s="265"/>
      <c r="Z46" s="265"/>
      <c r="AA46" s="265"/>
      <c r="AB46" s="265"/>
      <c r="AC46" s="265"/>
      <c r="AD46" s="265"/>
      <c r="AE46" s="258" t="str">
        <f>Tabelle4!K27</f>
        <v/>
      </c>
      <c r="AF46" s="258"/>
      <c r="AG46" s="258"/>
    </row>
    <row r="47" spans="2:35" x14ac:dyDescent="0.25">
      <c r="B47" s="266" t="str">
        <f>Tabelle4!H28</f>
        <v/>
      </c>
      <c r="C47" s="266"/>
      <c r="D47" s="266"/>
      <c r="E47" s="266"/>
      <c r="F47" s="266"/>
      <c r="G47" s="266"/>
      <c r="H47" s="266"/>
      <c r="I47" s="265" t="str">
        <f>Tabelle4!I28</f>
        <v/>
      </c>
      <c r="J47" s="265"/>
      <c r="K47" s="265"/>
      <c r="L47" s="265"/>
      <c r="M47" s="265"/>
      <c r="N47" s="265"/>
      <c r="O47" s="265"/>
      <c r="P47" s="265"/>
      <c r="Q47" s="265"/>
      <c r="R47" s="265"/>
      <c r="S47" s="265"/>
      <c r="T47" s="265" t="str">
        <f>Tabelle4!J28</f>
        <v/>
      </c>
      <c r="U47" s="265"/>
      <c r="V47" s="265"/>
      <c r="W47" s="265"/>
      <c r="X47" s="265"/>
      <c r="Y47" s="265"/>
      <c r="Z47" s="265"/>
      <c r="AA47" s="265"/>
      <c r="AB47" s="265"/>
      <c r="AC47" s="265"/>
      <c r="AD47" s="265"/>
      <c r="AE47" s="258" t="str">
        <f>Tabelle4!K28</f>
        <v/>
      </c>
      <c r="AF47" s="258"/>
      <c r="AG47" s="258"/>
    </row>
    <row r="48" spans="2:35" s="132" customFormat="1" x14ac:dyDescent="0.25">
      <c r="B48" s="266" t="str">
        <f>Tabelle4!H29</f>
        <v/>
      </c>
      <c r="C48" s="266"/>
      <c r="D48" s="266"/>
      <c r="E48" s="266"/>
      <c r="F48" s="266"/>
      <c r="G48" s="266"/>
      <c r="H48" s="266"/>
      <c r="I48" s="265" t="str">
        <f>Tabelle4!I29</f>
        <v/>
      </c>
      <c r="J48" s="265"/>
      <c r="K48" s="265"/>
      <c r="L48" s="265"/>
      <c r="M48" s="265"/>
      <c r="N48" s="265"/>
      <c r="O48" s="265"/>
      <c r="P48" s="265"/>
      <c r="Q48" s="265"/>
      <c r="R48" s="265"/>
      <c r="S48" s="265"/>
      <c r="T48" s="265" t="str">
        <f>Tabelle4!J29</f>
        <v/>
      </c>
      <c r="U48" s="265"/>
      <c r="V48" s="265"/>
      <c r="W48" s="265"/>
      <c r="X48" s="265"/>
      <c r="Y48" s="265"/>
      <c r="Z48" s="265"/>
      <c r="AA48" s="265"/>
      <c r="AB48" s="265"/>
      <c r="AC48" s="265"/>
      <c r="AD48" s="265"/>
      <c r="AE48" s="258" t="str">
        <f>Tabelle4!K29</f>
        <v/>
      </c>
      <c r="AF48" s="258"/>
      <c r="AG48" s="258"/>
    </row>
    <row r="49" spans="2:33" ht="15" customHeight="1" thickBot="1" x14ac:dyDescent="0.3">
      <c r="B49" s="214"/>
      <c r="C49" s="222"/>
      <c r="D49" s="222"/>
      <c r="E49" s="222"/>
      <c r="F49" s="222"/>
      <c r="G49" s="214"/>
      <c r="H49" s="214"/>
      <c r="I49" s="214"/>
      <c r="J49" s="215"/>
      <c r="K49" s="215"/>
      <c r="L49" s="215"/>
      <c r="M49" s="144"/>
      <c r="N49" s="143"/>
      <c r="O49" s="143"/>
      <c r="P49" s="143"/>
      <c r="Q49" s="143"/>
      <c r="R49" s="143"/>
      <c r="S49" s="143"/>
      <c r="T49" s="143"/>
      <c r="U49" s="143"/>
      <c r="V49" s="143"/>
      <c r="W49" s="143"/>
      <c r="X49" s="143"/>
      <c r="Y49" s="143"/>
      <c r="Z49" s="143"/>
      <c r="AA49" s="216"/>
      <c r="AB49" s="143"/>
      <c r="AC49" s="143"/>
      <c r="AD49" s="143"/>
      <c r="AE49" s="143"/>
      <c r="AF49" s="143"/>
      <c r="AG49" s="143"/>
    </row>
    <row r="50" spans="2:33" ht="15" customHeight="1" x14ac:dyDescent="0.25">
      <c r="B50" s="239" t="str">
        <f>HLOOKUP(VIONARO!I4,'SPRACHE TITEL'!D:N,2,FALSE)</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row>
    <row r="51" spans="2:33" x14ac:dyDescent="0.25">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row>
    <row r="52" spans="2:33" x14ac:dyDescent="0.25">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row>
    <row r="53" spans="2:33" x14ac:dyDescent="0.25">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row>
  </sheetData>
  <sheetProtection password="ED45" sheet="1" objects="1" scenarios="1" selectLockedCells="1" autoFilter="0"/>
  <mergeCells count="124">
    <mergeCell ref="I27:S27"/>
    <mergeCell ref="I38:S38"/>
    <mergeCell ref="I39:S39"/>
    <mergeCell ref="I28:S28"/>
    <mergeCell ref="I29:S29"/>
    <mergeCell ref="I30:S30"/>
    <mergeCell ref="I33:S33"/>
    <mergeCell ref="I34:S34"/>
    <mergeCell ref="I36:S36"/>
    <mergeCell ref="I37:S37"/>
    <mergeCell ref="B50:AG53"/>
    <mergeCell ref="B31:H31"/>
    <mergeCell ref="B33:H33"/>
    <mergeCell ref="B34:H34"/>
    <mergeCell ref="B39:H39"/>
    <mergeCell ref="B40:H40"/>
    <mergeCell ref="B41:H41"/>
    <mergeCell ref="B42:H42"/>
    <mergeCell ref="B43:H43"/>
    <mergeCell ref="B44:H44"/>
    <mergeCell ref="B45:H45"/>
    <mergeCell ref="B46:H46"/>
    <mergeCell ref="B47:H47"/>
    <mergeCell ref="B48:H48"/>
    <mergeCell ref="B32:H32"/>
    <mergeCell ref="T41:AD41"/>
    <mergeCell ref="T42:AD42"/>
    <mergeCell ref="T43:AD43"/>
    <mergeCell ref="T36:AD36"/>
    <mergeCell ref="T37:AD37"/>
    <mergeCell ref="T38:AD38"/>
    <mergeCell ref="I35:S35"/>
    <mergeCell ref="I31:S31"/>
    <mergeCell ref="I32:S32"/>
    <mergeCell ref="T33:AD33"/>
    <mergeCell ref="I20:S20"/>
    <mergeCell ref="T48:AD48"/>
    <mergeCell ref="B35:H35"/>
    <mergeCell ref="B36:H36"/>
    <mergeCell ref="B37:H37"/>
    <mergeCell ref="I47:S47"/>
    <mergeCell ref="I48:S48"/>
    <mergeCell ref="T45:AD45"/>
    <mergeCell ref="T46:AD46"/>
    <mergeCell ref="T47:AD47"/>
    <mergeCell ref="T39:AD39"/>
    <mergeCell ref="T40:AD40"/>
    <mergeCell ref="B30:H30"/>
    <mergeCell ref="B26:H26"/>
    <mergeCell ref="B27:H27"/>
    <mergeCell ref="B28:H28"/>
    <mergeCell ref="B29:H29"/>
    <mergeCell ref="B21:H21"/>
    <mergeCell ref="B22:H22"/>
    <mergeCell ref="B23:H23"/>
    <mergeCell ref="B24:H24"/>
    <mergeCell ref="B25:H25"/>
    <mergeCell ref="I21:S21"/>
    <mergeCell ref="T35:AD35"/>
    <mergeCell ref="AE46:AG46"/>
    <mergeCell ref="B38:H38"/>
    <mergeCell ref="I44:S44"/>
    <mergeCell ref="I45:S45"/>
    <mergeCell ref="AE41:AG41"/>
    <mergeCell ref="AE44:AG44"/>
    <mergeCell ref="AE45:AG45"/>
    <mergeCell ref="AE37:AG37"/>
    <mergeCell ref="AE38:AG38"/>
    <mergeCell ref="AE39:AG39"/>
    <mergeCell ref="I46:S46"/>
    <mergeCell ref="I40:S40"/>
    <mergeCell ref="I41:S41"/>
    <mergeCell ref="I42:S42"/>
    <mergeCell ref="I43:S43"/>
    <mergeCell ref="T44:AD44"/>
    <mergeCell ref="AE40:AG40"/>
    <mergeCell ref="AE48:AG48"/>
    <mergeCell ref="T20:AD20"/>
    <mergeCell ref="T21:AD21"/>
    <mergeCell ref="T22:AD22"/>
    <mergeCell ref="T23:AD23"/>
    <mergeCell ref="T24:AD24"/>
    <mergeCell ref="T25:AD25"/>
    <mergeCell ref="T26:AD26"/>
    <mergeCell ref="T27:AD27"/>
    <mergeCell ref="T28:AD28"/>
    <mergeCell ref="T29:AD29"/>
    <mergeCell ref="T30:AD30"/>
    <mergeCell ref="T31:AD31"/>
    <mergeCell ref="AE42:AG42"/>
    <mergeCell ref="AE43:AG43"/>
    <mergeCell ref="AE47:AG47"/>
    <mergeCell ref="AE33:AG33"/>
    <mergeCell ref="T32:AD32"/>
    <mergeCell ref="AE35:AG35"/>
    <mergeCell ref="AE34:AG34"/>
    <mergeCell ref="AE36:AG36"/>
    <mergeCell ref="AE29:AG29"/>
    <mergeCell ref="AE30:AG30"/>
    <mergeCell ref="T34:AD34"/>
    <mergeCell ref="AE31:AG31"/>
    <mergeCell ref="AE32:AG32"/>
    <mergeCell ref="AE24:AG24"/>
    <mergeCell ref="AE25:AG25"/>
    <mergeCell ref="AO9:AQ9"/>
    <mergeCell ref="B20:H20"/>
    <mergeCell ref="AC5:AG5"/>
    <mergeCell ref="AE20:AG20"/>
    <mergeCell ref="AE21:AG21"/>
    <mergeCell ref="AE22:AG22"/>
    <mergeCell ref="AE23:AG23"/>
    <mergeCell ref="E15:E16"/>
    <mergeCell ref="E13:E14"/>
    <mergeCell ref="E11:E12"/>
    <mergeCell ref="E9:E10"/>
    <mergeCell ref="G6:I6"/>
    <mergeCell ref="AE26:AG26"/>
    <mergeCell ref="AE27:AG27"/>
    <mergeCell ref="I22:S22"/>
    <mergeCell ref="I23:S23"/>
    <mergeCell ref="I24:S24"/>
    <mergeCell ref="I25:S25"/>
    <mergeCell ref="AE28:AG28"/>
    <mergeCell ref="I26:S26"/>
  </mergeCells>
  <pageMargins left="0.25" right="0.25" top="0.75" bottom="0.75" header="0.3" footer="0.3"/>
  <pageSetup paperSize="9" scale="83"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A1:AH41"/>
  <sheetViews>
    <sheetView showGridLines="0" showRowColHeaders="0" topLeftCell="A4" zoomScaleNormal="100" workbookViewId="0"/>
  </sheetViews>
  <sheetFormatPr defaultColWidth="3.7109375" defaultRowHeight="15" customHeight="1" x14ac:dyDescent="0.25"/>
  <cols>
    <col min="1" max="10" width="3.7109375" style="123"/>
    <col min="11" max="11" width="3.7109375" style="145"/>
    <col min="12" max="12" width="3.7109375" style="123"/>
    <col min="13" max="13" width="3.7109375" style="146"/>
    <col min="14" max="16384" width="3.7109375" style="123"/>
  </cols>
  <sheetData>
    <row r="1" spans="1:33" ht="15" customHeight="1" x14ac:dyDescent="0.25">
      <c r="K1" s="123"/>
      <c r="M1" s="123"/>
    </row>
    <row r="2" spans="1:33" ht="81.75" customHeight="1" x14ac:dyDescent="0.25">
      <c r="K2" s="123"/>
      <c r="M2" s="123"/>
    </row>
    <row r="3" spans="1:33" ht="15" customHeight="1" x14ac:dyDescent="0.25">
      <c r="K3" s="123"/>
      <c r="M3" s="123"/>
      <c r="AG3" s="135" t="str">
        <f>START!L3</f>
        <v>V3.4</v>
      </c>
    </row>
    <row r="4" spans="1:33" ht="15" customHeight="1" x14ac:dyDescent="0.25">
      <c r="K4" s="123"/>
      <c r="M4" s="123"/>
    </row>
    <row r="5" spans="1:33" ht="15" customHeight="1" x14ac:dyDescent="0.25">
      <c r="K5" s="123"/>
      <c r="M5" s="123"/>
      <c r="AC5" s="269" t="str">
        <f>HLOOKUP(VIONARO!I4,Sprachen!A2:K43,32,FALSE)</f>
        <v>Powrót</v>
      </c>
      <c r="AD5" s="269"/>
      <c r="AE5" s="269"/>
      <c r="AF5" s="269"/>
      <c r="AG5" s="269"/>
    </row>
    <row r="6" spans="1:33" ht="15" customHeight="1" thickBot="1" x14ac:dyDescent="0.3">
      <c r="B6" s="134" t="str">
        <f>HLOOKUP(VIONARO!I4,Sprachen!A2:K43,21,FALSE)</f>
        <v>Dane projektowe</v>
      </c>
      <c r="C6" s="136"/>
      <c r="D6" s="136"/>
      <c r="E6" s="136"/>
      <c r="F6" s="136"/>
      <c r="G6" s="264">
        <f ca="1">TODAY()</f>
        <v>42629</v>
      </c>
      <c r="H6" s="264"/>
      <c r="I6" s="264"/>
      <c r="J6" s="136"/>
      <c r="K6" s="136"/>
      <c r="L6" s="136"/>
      <c r="M6" s="136"/>
      <c r="N6" s="136"/>
      <c r="O6" s="136"/>
      <c r="P6" s="136"/>
      <c r="Q6" s="136"/>
      <c r="R6" s="136"/>
      <c r="S6" s="136"/>
      <c r="T6" s="136"/>
      <c r="U6" s="136"/>
      <c r="V6" s="136"/>
      <c r="W6" s="136"/>
      <c r="X6" s="136"/>
      <c r="Y6" s="136"/>
      <c r="Z6" s="136"/>
      <c r="AA6" s="136"/>
      <c r="AB6" s="136"/>
      <c r="AC6" s="136"/>
      <c r="AD6" s="136"/>
      <c r="AE6" s="136"/>
      <c r="AF6" s="136"/>
      <c r="AG6" s="136"/>
    </row>
    <row r="7" spans="1:33" ht="15" customHeight="1" x14ac:dyDescent="0.25">
      <c r="K7" s="123"/>
      <c r="M7" s="123"/>
    </row>
    <row r="8" spans="1:33" ht="15" customHeight="1" x14ac:dyDescent="0.25">
      <c r="A8" s="120"/>
      <c r="B8" s="120"/>
      <c r="C8" s="120"/>
      <c r="D8" s="120"/>
      <c r="E8" s="120"/>
      <c r="F8" s="147"/>
      <c r="G8" s="137"/>
      <c r="H8" s="148" t="str">
        <f>HLOOKUP(VIONARO!I4,Sprachen!A2:K43,22,FALSE)</f>
        <v>Wymiary zewnętrzne korpusu</v>
      </c>
      <c r="I8" s="149"/>
      <c r="J8" s="149"/>
      <c r="K8" s="149"/>
      <c r="L8" s="149"/>
      <c r="M8" s="149"/>
      <c r="N8" s="150"/>
      <c r="O8" s="120"/>
      <c r="P8" s="120"/>
      <c r="Q8" s="120"/>
      <c r="R8" s="120"/>
      <c r="S8" s="120"/>
      <c r="T8" s="120"/>
      <c r="U8" s="120"/>
      <c r="V8" s="120"/>
      <c r="W8" s="120"/>
      <c r="X8" s="120"/>
      <c r="Y8" s="120"/>
      <c r="Z8" s="120"/>
      <c r="AA8" s="120"/>
      <c r="AB8" s="120"/>
      <c r="AC8" s="120"/>
      <c r="AD8" s="120"/>
      <c r="AE8" s="120"/>
      <c r="AF8" s="120"/>
      <c r="AG8" s="120"/>
    </row>
    <row r="9" spans="1:33" ht="15" customHeight="1" x14ac:dyDescent="0.25">
      <c r="A9" s="120"/>
      <c r="B9" s="120"/>
      <c r="C9" s="120"/>
      <c r="D9" s="120"/>
      <c r="E9" s="263"/>
      <c r="F9" s="147"/>
      <c r="G9" s="137"/>
      <c r="H9" s="151" t="str">
        <f>HLOOKUP(VIONARO!I4,Sprachen!A2:K43,23,FALSE)</f>
        <v>Szerokość</v>
      </c>
      <c r="I9" s="151"/>
      <c r="J9" s="151"/>
      <c r="K9" s="151"/>
      <c r="L9" s="153" t="str">
        <f>IF(VIONARO!I7="","",CONCATENATE(VIONARO!I7," MM"))</f>
        <v>600 MM</v>
      </c>
      <c r="M9" s="153"/>
      <c r="N9" s="153"/>
      <c r="O9" s="120"/>
      <c r="P9" s="120"/>
      <c r="Q9" s="120"/>
      <c r="R9" s="120"/>
      <c r="S9" s="120"/>
      <c r="T9" s="120"/>
      <c r="U9" s="120"/>
      <c r="V9" s="120"/>
      <c r="W9" s="120"/>
      <c r="X9" s="120"/>
      <c r="Y9" s="120"/>
      <c r="Z9" s="120"/>
      <c r="AA9" s="120"/>
      <c r="AB9" s="120"/>
      <c r="AC9" s="120"/>
      <c r="AD9" s="120"/>
      <c r="AE9" s="120"/>
      <c r="AF9" s="120"/>
      <c r="AG9" s="120"/>
    </row>
    <row r="10" spans="1:33" ht="15" customHeight="1" x14ac:dyDescent="0.25">
      <c r="A10" s="120"/>
      <c r="B10" s="138" t="str">
        <f>IF(VIONARO!I10&lt;4,"",VIONARO!H34)</f>
        <v/>
      </c>
      <c r="C10" s="120"/>
      <c r="D10" s="122"/>
      <c r="E10" s="263"/>
      <c r="F10" s="147"/>
      <c r="G10" s="137"/>
      <c r="H10" s="152" t="str">
        <f>HLOOKUP(VIONARO!I4,Sprachen!A2:K43,24,FALSE)</f>
        <v>Wysokość</v>
      </c>
      <c r="I10" s="152"/>
      <c r="J10" s="152"/>
      <c r="K10" s="152"/>
      <c r="L10" s="154" t="str">
        <f>IF(VIONARO!K19="","",CONCATENATE(VIONARO!K19," MM"))</f>
        <v>705 MM</v>
      </c>
      <c r="M10" s="154"/>
      <c r="N10" s="154"/>
      <c r="O10" s="120"/>
      <c r="P10" s="120"/>
      <c r="Q10" s="120"/>
      <c r="R10" s="120"/>
      <c r="S10" s="120"/>
      <c r="T10" s="120"/>
      <c r="U10" s="120"/>
      <c r="V10" s="120"/>
      <c r="W10" s="120"/>
      <c r="X10" s="120"/>
      <c r="Y10" s="120"/>
      <c r="Z10" s="120"/>
      <c r="AA10" s="120"/>
      <c r="AB10" s="120"/>
      <c r="AC10" s="120"/>
      <c r="AD10" s="120"/>
      <c r="AE10" s="120"/>
      <c r="AF10" s="120"/>
      <c r="AG10" s="120"/>
    </row>
    <row r="11" spans="1:33" ht="15" customHeight="1" x14ac:dyDescent="0.25">
      <c r="A11" s="120"/>
      <c r="B11" s="138"/>
      <c r="C11" s="120"/>
      <c r="D11" s="122"/>
      <c r="E11" s="263"/>
      <c r="F11" s="147"/>
      <c r="G11" s="137"/>
      <c r="H11" s="152" t="str">
        <f>HLOOKUP(VIONARO!I4,Sprachen!A2:K43,25,FALSE)</f>
        <v>Głębokość</v>
      </c>
      <c r="I11" s="152"/>
      <c r="J11" s="152"/>
      <c r="K11" s="152"/>
      <c r="L11" s="154" t="str">
        <f>IF(VIONARO!I8="","",CONCATENATE(VIONARO!I8," MM"))</f>
        <v>508 MM</v>
      </c>
      <c r="M11" s="154"/>
      <c r="N11" s="154"/>
      <c r="O11" s="120"/>
      <c r="P11" s="120"/>
      <c r="Q11" s="120"/>
      <c r="R11" s="120"/>
      <c r="S11" s="120"/>
      <c r="T11" s="120"/>
      <c r="U11" s="120"/>
      <c r="V11" s="120"/>
      <c r="W11" s="120"/>
      <c r="X11" s="120"/>
      <c r="Y11" s="120"/>
      <c r="Z11" s="120"/>
      <c r="AA11" s="120"/>
      <c r="AB11" s="120"/>
      <c r="AC11" s="120"/>
      <c r="AD11" s="120"/>
      <c r="AE11" s="120"/>
      <c r="AF11" s="120"/>
      <c r="AG11" s="120"/>
    </row>
    <row r="12" spans="1:33" ht="15" customHeight="1" x14ac:dyDescent="0.25">
      <c r="A12" s="120"/>
      <c r="B12" s="138" t="str">
        <f>IF(VIONARO!I10&lt;3,"",VIONARO!H33)</f>
        <v/>
      </c>
      <c r="C12" s="120"/>
      <c r="D12" s="122"/>
      <c r="E12" s="263"/>
      <c r="F12" s="147"/>
      <c r="G12" s="137"/>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row>
    <row r="13" spans="1:33" ht="15" customHeight="1" x14ac:dyDescent="0.25">
      <c r="A13" s="120"/>
      <c r="B13" s="138"/>
      <c r="C13" s="120"/>
      <c r="D13" s="122"/>
      <c r="E13" s="263"/>
      <c r="F13" s="147"/>
      <c r="G13" s="137"/>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row>
    <row r="14" spans="1:33" ht="15" customHeight="1" x14ac:dyDescent="0.25">
      <c r="A14" s="120"/>
      <c r="B14" s="138" t="str">
        <f>IF(VIONARO!I10&lt;2,"",VIONARO!H32)</f>
        <v>587</v>
      </c>
      <c r="C14" s="120"/>
      <c r="D14" s="122"/>
      <c r="E14" s="263"/>
      <c r="F14" s="147"/>
      <c r="G14" s="137"/>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row>
    <row r="15" spans="1:33" ht="15" customHeight="1" x14ac:dyDescent="0.25">
      <c r="B15" s="70" t="str">
        <f>HLOOKUP(VIONARO!I4,Sprachen!A2:K43,42,FALSE)</f>
        <v>Wszystkie wymiary w mm</v>
      </c>
      <c r="C15" s="99"/>
      <c r="D15" s="79"/>
      <c r="E15" s="156"/>
      <c r="F15" s="155"/>
      <c r="K15" s="123"/>
      <c r="M15" s="123"/>
    </row>
    <row r="16" spans="1:33" ht="15" customHeight="1" x14ac:dyDescent="0.25">
      <c r="B16" s="260" t="str">
        <f>HLOOKUP(VIONARO!I4,Sprachen!A2:K43,28,FALSE)</f>
        <v>Opis 1</v>
      </c>
      <c r="C16" s="260"/>
      <c r="D16" s="260"/>
      <c r="E16" s="260"/>
      <c r="F16" s="260"/>
      <c r="G16" s="260"/>
      <c r="H16" s="270" t="str">
        <f>HLOOKUP(VIONARO!I4,Sprachen!A2:K43,37,FALSE)</f>
        <v xml:space="preserve">Długość </v>
      </c>
      <c r="I16" s="270"/>
      <c r="J16" s="270"/>
      <c r="K16" s="270"/>
      <c r="L16" s="270"/>
      <c r="M16" s="270"/>
      <c r="N16" s="270"/>
      <c r="O16" s="270" t="str">
        <f>HLOOKUP(VIONARO!I4,Sprachen!A2:K43,23,FALSE)</f>
        <v>Szerokość</v>
      </c>
      <c r="P16" s="270"/>
      <c r="Q16" s="270"/>
      <c r="R16" s="270"/>
      <c r="S16" s="270"/>
      <c r="T16" s="270"/>
      <c r="U16" s="270"/>
      <c r="V16" s="270"/>
      <c r="W16" s="270"/>
      <c r="X16" s="270" t="str">
        <f>HLOOKUP(VIONARO!I4,Sprachen!A2:K43,38,FALSE)</f>
        <v>Grubość</v>
      </c>
      <c r="Y16" s="270"/>
      <c r="Z16" s="270"/>
      <c r="AA16" s="270"/>
      <c r="AB16" s="270"/>
      <c r="AC16" s="270"/>
      <c r="AD16" s="270" t="str">
        <f>HLOOKUP(VIONARO!I4,Sprachen!A2:K43,30,FALSE)</f>
        <v>Ilość</v>
      </c>
      <c r="AE16" s="270"/>
      <c r="AF16" s="270"/>
      <c r="AG16" s="270"/>
    </row>
    <row r="17" spans="2:34" ht="15" customHeight="1" x14ac:dyDescent="0.25">
      <c r="B17" s="267" t="str">
        <f>Tabelle5!J2</f>
        <v>Dno 1A</v>
      </c>
      <c r="C17" s="267"/>
      <c r="D17" s="267"/>
      <c r="E17" s="267"/>
      <c r="F17" s="267"/>
      <c r="G17" s="267"/>
      <c r="H17" s="268">
        <f>Tabelle5!K2</f>
        <v>489</v>
      </c>
      <c r="I17" s="268"/>
      <c r="J17" s="268"/>
      <c r="K17" s="268"/>
      <c r="L17" s="268"/>
      <c r="M17" s="268"/>
      <c r="N17" s="268"/>
      <c r="O17" s="271">
        <f>Tabelle5!L2</f>
        <v>543</v>
      </c>
      <c r="P17" s="271"/>
      <c r="Q17" s="271"/>
      <c r="R17" s="271"/>
      <c r="S17" s="271"/>
      <c r="T17" s="271"/>
      <c r="U17" s="271"/>
      <c r="V17" s="271"/>
      <c r="W17" s="271"/>
      <c r="X17" s="268">
        <f>Tabelle5!M2</f>
        <v>16</v>
      </c>
      <c r="Y17" s="268"/>
      <c r="Z17" s="268"/>
      <c r="AA17" s="268"/>
      <c r="AB17" s="268"/>
      <c r="AC17" s="268"/>
      <c r="AD17" s="268">
        <f>Tabelle5!N2</f>
        <v>1</v>
      </c>
      <c r="AE17" s="268"/>
      <c r="AF17" s="268"/>
      <c r="AG17" s="268"/>
    </row>
    <row r="18" spans="2:34" ht="15" customHeight="1" x14ac:dyDescent="0.25">
      <c r="B18" s="267" t="str">
        <f>Tabelle5!J3</f>
        <v>Plecy 1A</v>
      </c>
      <c r="C18" s="267"/>
      <c r="D18" s="267"/>
      <c r="E18" s="267"/>
      <c r="F18" s="267"/>
      <c r="G18" s="267"/>
      <c r="H18" s="268">
        <f>Tabelle5!K3</f>
        <v>155</v>
      </c>
      <c r="I18" s="268"/>
      <c r="J18" s="268"/>
      <c r="K18" s="268"/>
      <c r="L18" s="268"/>
      <c r="M18" s="268"/>
      <c r="N18" s="268"/>
      <c r="O18" s="271">
        <f>Tabelle5!L3</f>
        <v>522</v>
      </c>
      <c r="P18" s="271"/>
      <c r="Q18" s="271"/>
      <c r="R18" s="271"/>
      <c r="S18" s="271"/>
      <c r="T18" s="271"/>
      <c r="U18" s="271"/>
      <c r="V18" s="271"/>
      <c r="W18" s="271"/>
      <c r="X18" s="268">
        <f>Tabelle5!M3</f>
        <v>16</v>
      </c>
      <c r="Y18" s="268"/>
      <c r="Z18" s="268"/>
      <c r="AA18" s="268"/>
      <c r="AB18" s="268"/>
      <c r="AC18" s="268"/>
      <c r="AD18" s="268">
        <f>Tabelle5!N3</f>
        <v>1</v>
      </c>
      <c r="AE18" s="268"/>
      <c r="AF18" s="268"/>
      <c r="AG18" s="268"/>
    </row>
    <row r="19" spans="2:34" ht="15" customHeight="1" x14ac:dyDescent="0.25">
      <c r="B19" s="267" t="str">
        <f>Tabelle5!J4</f>
        <v>Dno 1B</v>
      </c>
      <c r="C19" s="267"/>
      <c r="D19" s="267"/>
      <c r="E19" s="267"/>
      <c r="F19" s="267"/>
      <c r="G19" s="267"/>
      <c r="H19" s="268">
        <f>Tabelle5!K4</f>
        <v>439</v>
      </c>
      <c r="I19" s="268"/>
      <c r="J19" s="268"/>
      <c r="K19" s="268"/>
      <c r="L19" s="268"/>
      <c r="M19" s="268"/>
      <c r="N19" s="268"/>
      <c r="O19" s="271">
        <f>Tabelle5!L4</f>
        <v>543</v>
      </c>
      <c r="P19" s="271"/>
      <c r="Q19" s="271"/>
      <c r="R19" s="271"/>
      <c r="S19" s="271"/>
      <c r="T19" s="271"/>
      <c r="U19" s="271"/>
      <c r="V19" s="271"/>
      <c r="W19" s="271"/>
      <c r="X19" s="268">
        <f>Tabelle5!M4</f>
        <v>16</v>
      </c>
      <c r="Y19" s="268"/>
      <c r="Z19" s="268"/>
      <c r="AA19" s="268"/>
      <c r="AB19" s="268"/>
      <c r="AC19" s="268"/>
      <c r="AD19" s="268">
        <f>Tabelle5!N4</f>
        <v>1</v>
      </c>
      <c r="AE19" s="268"/>
      <c r="AF19" s="268"/>
      <c r="AG19" s="268"/>
    </row>
    <row r="20" spans="2:34" ht="15" customHeight="1" x14ac:dyDescent="0.25">
      <c r="B20" s="267" t="str">
        <f>Tabelle5!J5</f>
        <v>Plecy 1B</v>
      </c>
      <c r="C20" s="267"/>
      <c r="D20" s="267"/>
      <c r="E20" s="267"/>
      <c r="F20" s="267"/>
      <c r="G20" s="267"/>
      <c r="H20" s="268">
        <f>Tabelle5!K5</f>
        <v>155</v>
      </c>
      <c r="I20" s="268"/>
      <c r="J20" s="268"/>
      <c r="K20" s="268"/>
      <c r="L20" s="268"/>
      <c r="M20" s="268"/>
      <c r="N20" s="268"/>
      <c r="O20" s="271">
        <f>Tabelle5!L5</f>
        <v>522</v>
      </c>
      <c r="P20" s="271"/>
      <c r="Q20" s="271"/>
      <c r="R20" s="271"/>
      <c r="S20" s="271"/>
      <c r="T20" s="271"/>
      <c r="U20" s="271"/>
      <c r="V20" s="271"/>
      <c r="W20" s="271"/>
      <c r="X20" s="268">
        <f>Tabelle5!M5</f>
        <v>16</v>
      </c>
      <c r="Y20" s="268"/>
      <c r="Z20" s="268"/>
      <c r="AA20" s="268"/>
      <c r="AB20" s="268"/>
      <c r="AC20" s="268"/>
      <c r="AD20" s="268">
        <f>Tabelle5!N5</f>
        <v>1</v>
      </c>
      <c r="AE20" s="268"/>
      <c r="AF20" s="268"/>
      <c r="AG20" s="268"/>
    </row>
    <row r="21" spans="2:34" ht="15" customHeight="1" x14ac:dyDescent="0.25">
      <c r="B21" s="267" t="str">
        <f>Tabelle5!J6</f>
        <v>Dno 2A</v>
      </c>
      <c r="C21" s="267"/>
      <c r="D21" s="267"/>
      <c r="E21" s="267"/>
      <c r="F21" s="267"/>
      <c r="G21" s="267"/>
      <c r="H21" s="268">
        <f>Tabelle5!K6</f>
        <v>489</v>
      </c>
      <c r="I21" s="268"/>
      <c r="J21" s="268"/>
      <c r="K21" s="268"/>
      <c r="L21" s="268"/>
      <c r="M21" s="268"/>
      <c r="N21" s="268"/>
      <c r="O21" s="271">
        <f>Tabelle5!L6</f>
        <v>543</v>
      </c>
      <c r="P21" s="271"/>
      <c r="Q21" s="271"/>
      <c r="R21" s="271"/>
      <c r="S21" s="271"/>
      <c r="T21" s="271"/>
      <c r="U21" s="271"/>
      <c r="V21" s="271"/>
      <c r="W21" s="271"/>
      <c r="X21" s="268">
        <f>Tabelle5!M6</f>
        <v>16</v>
      </c>
      <c r="Y21" s="268"/>
      <c r="Z21" s="268"/>
      <c r="AA21" s="268"/>
      <c r="AB21" s="268"/>
      <c r="AC21" s="268"/>
      <c r="AD21" s="268">
        <f>Tabelle5!N6</f>
        <v>1</v>
      </c>
      <c r="AE21" s="268"/>
      <c r="AF21" s="268"/>
      <c r="AG21" s="268"/>
      <c r="AH21" s="146"/>
    </row>
    <row r="22" spans="2:34" ht="15" customHeight="1" x14ac:dyDescent="0.25">
      <c r="B22" s="267" t="str">
        <f>Tabelle5!J7</f>
        <v>Plecy 2A</v>
      </c>
      <c r="C22" s="267"/>
      <c r="D22" s="267"/>
      <c r="E22" s="267"/>
      <c r="F22" s="267"/>
      <c r="G22" s="267"/>
      <c r="H22" s="268">
        <f>Tabelle5!K7</f>
        <v>59</v>
      </c>
      <c r="I22" s="268"/>
      <c r="J22" s="268"/>
      <c r="K22" s="268"/>
      <c r="L22" s="268"/>
      <c r="M22" s="268"/>
      <c r="N22" s="268"/>
      <c r="O22" s="271">
        <f>Tabelle5!L7</f>
        <v>522</v>
      </c>
      <c r="P22" s="271"/>
      <c r="Q22" s="271"/>
      <c r="R22" s="271"/>
      <c r="S22" s="271"/>
      <c r="T22" s="271"/>
      <c r="U22" s="271"/>
      <c r="V22" s="271"/>
      <c r="W22" s="271"/>
      <c r="X22" s="268">
        <f>Tabelle5!M7</f>
        <v>16</v>
      </c>
      <c r="Y22" s="268"/>
      <c r="Z22" s="268"/>
      <c r="AA22" s="268"/>
      <c r="AB22" s="268"/>
      <c r="AC22" s="268"/>
      <c r="AD22" s="268">
        <f>Tabelle5!N7</f>
        <v>1</v>
      </c>
      <c r="AE22" s="268"/>
      <c r="AF22" s="268"/>
      <c r="AG22" s="268"/>
    </row>
    <row r="23" spans="2:34" ht="15" customHeight="1" x14ac:dyDescent="0.25">
      <c r="B23" s="267" t="str">
        <f>Tabelle5!J8</f>
        <v/>
      </c>
      <c r="C23" s="267"/>
      <c r="D23" s="267"/>
      <c r="E23" s="267"/>
      <c r="F23" s="267"/>
      <c r="G23" s="267"/>
      <c r="H23" s="268" t="str">
        <f>Tabelle5!K8</f>
        <v/>
      </c>
      <c r="I23" s="268"/>
      <c r="J23" s="268"/>
      <c r="K23" s="268"/>
      <c r="L23" s="268"/>
      <c r="M23" s="268"/>
      <c r="N23" s="268"/>
      <c r="O23" s="271" t="str">
        <f>Tabelle5!L8</f>
        <v/>
      </c>
      <c r="P23" s="271"/>
      <c r="Q23" s="271"/>
      <c r="R23" s="271"/>
      <c r="S23" s="271"/>
      <c r="T23" s="271"/>
      <c r="U23" s="271"/>
      <c r="V23" s="271"/>
      <c r="W23" s="271"/>
      <c r="X23" s="268" t="str">
        <f>Tabelle5!M8</f>
        <v/>
      </c>
      <c r="Y23" s="268"/>
      <c r="Z23" s="268"/>
      <c r="AA23" s="268"/>
      <c r="AB23" s="268"/>
      <c r="AC23" s="268"/>
      <c r="AD23" s="268" t="str">
        <f>Tabelle5!N8</f>
        <v/>
      </c>
      <c r="AE23" s="268"/>
      <c r="AF23" s="268"/>
      <c r="AG23" s="268"/>
    </row>
    <row r="24" spans="2:34" ht="15" customHeight="1" x14ac:dyDescent="0.25">
      <c r="B24" s="267" t="str">
        <f>Tabelle5!J9</f>
        <v/>
      </c>
      <c r="C24" s="267"/>
      <c r="D24" s="267"/>
      <c r="E24" s="267"/>
      <c r="F24" s="267"/>
      <c r="G24" s="267"/>
      <c r="H24" s="268" t="str">
        <f>Tabelle5!K9</f>
        <v/>
      </c>
      <c r="I24" s="268"/>
      <c r="J24" s="268"/>
      <c r="K24" s="268"/>
      <c r="L24" s="268"/>
      <c r="M24" s="268"/>
      <c r="N24" s="268"/>
      <c r="O24" s="271" t="str">
        <f>Tabelle5!L9</f>
        <v/>
      </c>
      <c r="P24" s="271"/>
      <c r="Q24" s="271"/>
      <c r="R24" s="271"/>
      <c r="S24" s="271"/>
      <c r="T24" s="271"/>
      <c r="U24" s="271"/>
      <c r="V24" s="271"/>
      <c r="W24" s="271"/>
      <c r="X24" s="268" t="str">
        <f>Tabelle5!M9</f>
        <v/>
      </c>
      <c r="Y24" s="268"/>
      <c r="Z24" s="268"/>
      <c r="AA24" s="268"/>
      <c r="AB24" s="268"/>
      <c r="AC24" s="268"/>
      <c r="AD24" s="268" t="str">
        <f>Tabelle5!N9</f>
        <v/>
      </c>
      <c r="AE24" s="268"/>
      <c r="AF24" s="268"/>
      <c r="AG24" s="268"/>
    </row>
    <row r="25" spans="2:34" s="146" customFormat="1" ht="15" customHeight="1" x14ac:dyDescent="0.25">
      <c r="B25" s="267" t="str">
        <f>Tabelle5!J10</f>
        <v/>
      </c>
      <c r="C25" s="267"/>
      <c r="D25" s="267"/>
      <c r="E25" s="267"/>
      <c r="F25" s="267"/>
      <c r="G25" s="267"/>
      <c r="H25" s="268" t="str">
        <f>Tabelle5!K10</f>
        <v/>
      </c>
      <c r="I25" s="268"/>
      <c r="J25" s="268"/>
      <c r="K25" s="268"/>
      <c r="L25" s="268"/>
      <c r="M25" s="268"/>
      <c r="N25" s="268"/>
      <c r="O25" s="271" t="str">
        <f>Tabelle5!L10</f>
        <v/>
      </c>
      <c r="P25" s="271"/>
      <c r="Q25" s="271"/>
      <c r="R25" s="271"/>
      <c r="S25" s="271"/>
      <c r="T25" s="271"/>
      <c r="U25" s="271"/>
      <c r="V25" s="271"/>
      <c r="W25" s="271"/>
      <c r="X25" s="268" t="str">
        <f>Tabelle5!M10</f>
        <v/>
      </c>
      <c r="Y25" s="268"/>
      <c r="Z25" s="268"/>
      <c r="AA25" s="268"/>
      <c r="AB25" s="268"/>
      <c r="AC25" s="268"/>
      <c r="AD25" s="268" t="str">
        <f>Tabelle5!N10</f>
        <v/>
      </c>
      <c r="AE25" s="268"/>
      <c r="AF25" s="268"/>
      <c r="AG25" s="268"/>
      <c r="AH25" s="123"/>
    </row>
    <row r="26" spans="2:34" ht="15" customHeight="1" x14ac:dyDescent="0.25">
      <c r="B26" s="267" t="str">
        <f>Tabelle5!J11</f>
        <v/>
      </c>
      <c r="C26" s="267"/>
      <c r="D26" s="267"/>
      <c r="E26" s="267"/>
      <c r="F26" s="267"/>
      <c r="G26" s="267"/>
      <c r="H26" s="268" t="str">
        <f>Tabelle5!K11</f>
        <v/>
      </c>
      <c r="I26" s="268"/>
      <c r="J26" s="268"/>
      <c r="K26" s="268"/>
      <c r="L26" s="268"/>
      <c r="M26" s="268"/>
      <c r="N26" s="268"/>
      <c r="O26" s="271" t="str">
        <f>Tabelle5!L11</f>
        <v/>
      </c>
      <c r="P26" s="271"/>
      <c r="Q26" s="271"/>
      <c r="R26" s="271"/>
      <c r="S26" s="271"/>
      <c r="T26" s="271"/>
      <c r="U26" s="271"/>
      <c r="V26" s="271"/>
      <c r="W26" s="271"/>
      <c r="X26" s="268" t="str">
        <f>Tabelle5!M11</f>
        <v/>
      </c>
      <c r="Y26" s="268"/>
      <c r="Z26" s="268"/>
      <c r="AA26" s="268"/>
      <c r="AB26" s="268"/>
      <c r="AC26" s="268"/>
      <c r="AD26" s="268" t="str">
        <f>Tabelle5!N11</f>
        <v/>
      </c>
      <c r="AE26" s="268"/>
      <c r="AF26" s="268"/>
      <c r="AG26" s="268"/>
      <c r="AH26" s="146"/>
    </row>
    <row r="27" spans="2:34" ht="15" customHeight="1" x14ac:dyDescent="0.25">
      <c r="B27" s="267" t="str">
        <f>Tabelle5!J12</f>
        <v/>
      </c>
      <c r="C27" s="267"/>
      <c r="D27" s="267"/>
      <c r="E27" s="267"/>
      <c r="F27" s="267"/>
      <c r="G27" s="267"/>
      <c r="H27" s="268" t="str">
        <f>Tabelle5!K12</f>
        <v/>
      </c>
      <c r="I27" s="268"/>
      <c r="J27" s="268"/>
      <c r="K27" s="268"/>
      <c r="L27" s="268"/>
      <c r="M27" s="268"/>
      <c r="N27" s="268"/>
      <c r="O27" s="271" t="str">
        <f>Tabelle5!L12</f>
        <v/>
      </c>
      <c r="P27" s="271"/>
      <c r="Q27" s="271"/>
      <c r="R27" s="271"/>
      <c r="S27" s="271"/>
      <c r="T27" s="271"/>
      <c r="U27" s="271"/>
      <c r="V27" s="271"/>
      <c r="W27" s="271"/>
      <c r="X27" s="268" t="str">
        <f>Tabelle5!M12</f>
        <v/>
      </c>
      <c r="Y27" s="268"/>
      <c r="Z27" s="268"/>
      <c r="AA27" s="268"/>
      <c r="AB27" s="268"/>
      <c r="AC27" s="268"/>
      <c r="AD27" s="268" t="str">
        <f>Tabelle5!N12</f>
        <v/>
      </c>
      <c r="AE27" s="268"/>
      <c r="AF27" s="268"/>
      <c r="AG27" s="268"/>
    </row>
    <row r="28" spans="2:34" ht="15" customHeight="1" x14ac:dyDescent="0.25">
      <c r="B28" s="267" t="str">
        <f>Tabelle5!J13</f>
        <v/>
      </c>
      <c r="C28" s="267"/>
      <c r="D28" s="267"/>
      <c r="E28" s="267"/>
      <c r="F28" s="267"/>
      <c r="G28" s="267"/>
      <c r="H28" s="268" t="str">
        <f>Tabelle5!K13</f>
        <v/>
      </c>
      <c r="I28" s="268"/>
      <c r="J28" s="268"/>
      <c r="K28" s="268"/>
      <c r="L28" s="268"/>
      <c r="M28" s="268"/>
      <c r="N28" s="268"/>
      <c r="O28" s="271" t="str">
        <f>Tabelle5!L13</f>
        <v/>
      </c>
      <c r="P28" s="271"/>
      <c r="Q28" s="271"/>
      <c r="R28" s="271"/>
      <c r="S28" s="271"/>
      <c r="T28" s="271"/>
      <c r="U28" s="271"/>
      <c r="V28" s="271"/>
      <c r="W28" s="271"/>
      <c r="X28" s="268" t="str">
        <f>Tabelle5!M13</f>
        <v/>
      </c>
      <c r="Y28" s="268"/>
      <c r="Z28" s="268"/>
      <c r="AA28" s="268"/>
      <c r="AB28" s="268"/>
      <c r="AC28" s="268"/>
      <c r="AD28" s="268" t="str">
        <f>Tabelle5!N13</f>
        <v/>
      </c>
      <c r="AE28" s="268"/>
      <c r="AF28" s="268"/>
      <c r="AG28" s="268"/>
    </row>
    <row r="29" spans="2:34" ht="15" customHeight="1" x14ac:dyDescent="0.25">
      <c r="B29" s="267" t="str">
        <f>Tabelle5!J14</f>
        <v/>
      </c>
      <c r="C29" s="267"/>
      <c r="D29" s="267"/>
      <c r="E29" s="267"/>
      <c r="F29" s="267"/>
      <c r="G29" s="267"/>
      <c r="H29" s="268" t="str">
        <f>Tabelle5!K14</f>
        <v/>
      </c>
      <c r="I29" s="268"/>
      <c r="J29" s="268"/>
      <c r="K29" s="268"/>
      <c r="L29" s="268"/>
      <c r="M29" s="268"/>
      <c r="N29" s="268"/>
      <c r="O29" s="271" t="str">
        <f>Tabelle5!L14</f>
        <v/>
      </c>
      <c r="P29" s="271"/>
      <c r="Q29" s="271"/>
      <c r="R29" s="271"/>
      <c r="S29" s="271"/>
      <c r="T29" s="271"/>
      <c r="U29" s="271"/>
      <c r="V29" s="271"/>
      <c r="W29" s="271"/>
      <c r="X29" s="268" t="str">
        <f>Tabelle5!M14</f>
        <v/>
      </c>
      <c r="Y29" s="268"/>
      <c r="Z29" s="268"/>
      <c r="AA29" s="268"/>
      <c r="AB29" s="268"/>
      <c r="AC29" s="268"/>
      <c r="AD29" s="268" t="str">
        <f>Tabelle5!N14</f>
        <v/>
      </c>
      <c r="AE29" s="268"/>
      <c r="AF29" s="268"/>
      <c r="AG29" s="268"/>
    </row>
    <row r="30" spans="2:34" s="146" customFormat="1" ht="15" customHeight="1" x14ac:dyDescent="0.25">
      <c r="B30" s="267" t="str">
        <f>Tabelle5!J15</f>
        <v/>
      </c>
      <c r="C30" s="267"/>
      <c r="D30" s="267"/>
      <c r="E30" s="267"/>
      <c r="F30" s="267"/>
      <c r="G30" s="267"/>
      <c r="H30" s="268" t="str">
        <f>Tabelle5!K15</f>
        <v/>
      </c>
      <c r="I30" s="268"/>
      <c r="J30" s="268"/>
      <c r="K30" s="268"/>
      <c r="L30" s="268"/>
      <c r="M30" s="268"/>
      <c r="N30" s="268"/>
      <c r="O30" s="271" t="str">
        <f>Tabelle5!L15</f>
        <v/>
      </c>
      <c r="P30" s="271"/>
      <c r="Q30" s="271"/>
      <c r="R30" s="271"/>
      <c r="S30" s="271"/>
      <c r="T30" s="271"/>
      <c r="U30" s="271"/>
      <c r="V30" s="271"/>
      <c r="W30" s="271"/>
      <c r="X30" s="268" t="str">
        <f>Tabelle5!M15</f>
        <v/>
      </c>
      <c r="Y30" s="268"/>
      <c r="Z30" s="268"/>
      <c r="AA30" s="268"/>
      <c r="AB30" s="268"/>
      <c r="AC30" s="268"/>
      <c r="AD30" s="268" t="str">
        <f>Tabelle5!N15</f>
        <v/>
      </c>
      <c r="AE30" s="268"/>
      <c r="AF30" s="268"/>
      <c r="AG30" s="268"/>
      <c r="AH30" s="123"/>
    </row>
    <row r="31" spans="2:34" ht="15" customHeight="1" x14ac:dyDescent="0.25">
      <c r="B31" s="267" t="str">
        <f>Tabelle5!J16</f>
        <v/>
      </c>
      <c r="C31" s="267"/>
      <c r="D31" s="267"/>
      <c r="E31" s="267"/>
      <c r="F31" s="267"/>
      <c r="G31" s="267"/>
      <c r="H31" s="268" t="str">
        <f>Tabelle5!K16</f>
        <v/>
      </c>
      <c r="I31" s="268"/>
      <c r="J31" s="268"/>
      <c r="K31" s="268"/>
      <c r="L31" s="268"/>
      <c r="M31" s="268"/>
      <c r="N31" s="268"/>
      <c r="O31" s="271" t="str">
        <f>Tabelle5!L16</f>
        <v/>
      </c>
      <c r="P31" s="271"/>
      <c r="Q31" s="271"/>
      <c r="R31" s="271"/>
      <c r="S31" s="271"/>
      <c r="T31" s="271"/>
      <c r="U31" s="271"/>
      <c r="V31" s="271"/>
      <c r="W31" s="271"/>
      <c r="X31" s="268" t="str">
        <f>Tabelle5!M16</f>
        <v/>
      </c>
      <c r="Y31" s="268"/>
      <c r="Z31" s="268"/>
      <c r="AA31" s="268"/>
      <c r="AB31" s="268"/>
      <c r="AC31" s="268"/>
      <c r="AD31" s="268" t="str">
        <f>Tabelle5!N16</f>
        <v/>
      </c>
      <c r="AE31" s="268"/>
      <c r="AF31" s="268"/>
      <c r="AG31" s="268"/>
    </row>
    <row r="32" spans="2:34" ht="15" customHeight="1" x14ac:dyDescent="0.25">
      <c r="B32" s="267" t="str">
        <f>Tabelle5!J17</f>
        <v/>
      </c>
      <c r="C32" s="267"/>
      <c r="D32" s="267"/>
      <c r="E32" s="267"/>
      <c r="F32" s="267"/>
      <c r="G32" s="267"/>
      <c r="H32" s="268" t="str">
        <f>Tabelle5!K17</f>
        <v/>
      </c>
      <c r="I32" s="268"/>
      <c r="J32" s="268"/>
      <c r="K32" s="268"/>
      <c r="L32" s="268"/>
      <c r="M32" s="268"/>
      <c r="N32" s="268"/>
      <c r="O32" s="271" t="str">
        <f>Tabelle5!L17</f>
        <v/>
      </c>
      <c r="P32" s="271"/>
      <c r="Q32" s="271"/>
      <c r="R32" s="271"/>
      <c r="S32" s="271"/>
      <c r="T32" s="271"/>
      <c r="U32" s="271"/>
      <c r="V32" s="271"/>
      <c r="W32" s="271"/>
      <c r="X32" s="268" t="str">
        <f>Tabelle5!M17</f>
        <v/>
      </c>
      <c r="Y32" s="268"/>
      <c r="Z32" s="268"/>
      <c r="AA32" s="268"/>
      <c r="AB32" s="268"/>
      <c r="AC32" s="268"/>
      <c r="AD32" s="268" t="str">
        <f>Tabelle5!N17</f>
        <v/>
      </c>
      <c r="AE32" s="268"/>
      <c r="AF32" s="268"/>
      <c r="AG32" s="268"/>
    </row>
    <row r="33" spans="2:34" ht="15" customHeight="1" x14ac:dyDescent="0.25">
      <c r="B33" s="267" t="str">
        <f>Tabelle5!J18</f>
        <v/>
      </c>
      <c r="C33" s="267"/>
      <c r="D33" s="267"/>
      <c r="E33" s="267"/>
      <c r="F33" s="267"/>
      <c r="G33" s="267"/>
      <c r="H33" s="268" t="str">
        <f>Tabelle5!K18</f>
        <v/>
      </c>
      <c r="I33" s="268"/>
      <c r="J33" s="268"/>
      <c r="K33" s="268"/>
      <c r="L33" s="268"/>
      <c r="M33" s="268"/>
      <c r="N33" s="268"/>
      <c r="O33" s="271" t="str">
        <f>Tabelle5!L18</f>
        <v/>
      </c>
      <c r="P33" s="271"/>
      <c r="Q33" s="271"/>
      <c r="R33" s="271"/>
      <c r="S33" s="271"/>
      <c r="T33" s="271"/>
      <c r="U33" s="271"/>
      <c r="V33" s="271"/>
      <c r="W33" s="271"/>
      <c r="X33" s="268" t="str">
        <f>Tabelle5!M18</f>
        <v/>
      </c>
      <c r="Y33" s="268"/>
      <c r="Z33" s="268"/>
      <c r="AA33" s="268"/>
      <c r="AB33" s="268"/>
      <c r="AC33" s="268"/>
      <c r="AD33" s="268" t="str">
        <f>Tabelle5!N18</f>
        <v/>
      </c>
      <c r="AE33" s="268"/>
      <c r="AF33" s="268"/>
      <c r="AG33" s="268"/>
    </row>
    <row r="34" spans="2:34" ht="15" customHeight="1" x14ac:dyDescent="0.25">
      <c r="B34" s="267" t="str">
        <f>Tabelle5!J19</f>
        <v/>
      </c>
      <c r="C34" s="267"/>
      <c r="D34" s="267"/>
      <c r="E34" s="267"/>
      <c r="F34" s="267"/>
      <c r="G34" s="267"/>
      <c r="H34" s="268" t="str">
        <f>Tabelle5!K19</f>
        <v/>
      </c>
      <c r="I34" s="268"/>
      <c r="J34" s="268"/>
      <c r="K34" s="268"/>
      <c r="L34" s="268"/>
      <c r="M34" s="268"/>
      <c r="N34" s="268"/>
      <c r="O34" s="271" t="str">
        <f>Tabelle5!L19</f>
        <v/>
      </c>
      <c r="P34" s="271"/>
      <c r="Q34" s="271"/>
      <c r="R34" s="271"/>
      <c r="S34" s="271"/>
      <c r="T34" s="271"/>
      <c r="U34" s="271"/>
      <c r="V34" s="271"/>
      <c r="W34" s="271"/>
      <c r="X34" s="268" t="str">
        <f>Tabelle5!M19</f>
        <v/>
      </c>
      <c r="Y34" s="268"/>
      <c r="Z34" s="268"/>
      <c r="AA34" s="268"/>
      <c r="AB34" s="268"/>
      <c r="AC34" s="268"/>
      <c r="AD34" s="268" t="str">
        <f>Tabelle5!N19</f>
        <v/>
      </c>
      <c r="AE34" s="268"/>
      <c r="AF34" s="268"/>
      <c r="AG34" s="268"/>
    </row>
    <row r="35" spans="2:34" s="146" customFormat="1" ht="15" customHeight="1" x14ac:dyDescent="0.25">
      <c r="B35" s="267" t="str">
        <f>Tabelle5!J20</f>
        <v/>
      </c>
      <c r="C35" s="267"/>
      <c r="D35" s="267"/>
      <c r="E35" s="267"/>
      <c r="F35" s="267"/>
      <c r="G35" s="267"/>
      <c r="H35" s="268" t="str">
        <f>Tabelle5!K20</f>
        <v/>
      </c>
      <c r="I35" s="268"/>
      <c r="J35" s="268"/>
      <c r="K35" s="268"/>
      <c r="L35" s="268"/>
      <c r="M35" s="268"/>
      <c r="N35" s="268"/>
      <c r="O35" s="271" t="str">
        <f>Tabelle5!L20</f>
        <v/>
      </c>
      <c r="P35" s="271"/>
      <c r="Q35" s="271"/>
      <c r="R35" s="271"/>
      <c r="S35" s="271"/>
      <c r="T35" s="271"/>
      <c r="U35" s="271"/>
      <c r="V35" s="271"/>
      <c r="W35" s="271"/>
      <c r="X35" s="268" t="str">
        <f>Tabelle5!M20</f>
        <v/>
      </c>
      <c r="Y35" s="268"/>
      <c r="Z35" s="268"/>
      <c r="AA35" s="268"/>
      <c r="AB35" s="268"/>
      <c r="AC35" s="268"/>
      <c r="AD35" s="268" t="str">
        <f>Tabelle5!N20</f>
        <v/>
      </c>
      <c r="AE35" s="268"/>
      <c r="AF35" s="268"/>
      <c r="AG35" s="268"/>
      <c r="AH35" s="123"/>
    </row>
    <row r="36" spans="2:34" ht="15" customHeight="1" thickBot="1" x14ac:dyDescent="0.3">
      <c r="B36" s="143"/>
      <c r="C36" s="143"/>
      <c r="D36" s="143"/>
      <c r="E36" s="143"/>
      <c r="F36" s="143"/>
      <c r="G36" s="143"/>
      <c r="H36" s="143"/>
      <c r="I36" s="143"/>
      <c r="J36" s="143"/>
      <c r="K36" s="143"/>
      <c r="L36" s="143"/>
      <c r="M36" s="144"/>
      <c r="N36" s="143"/>
      <c r="O36" s="143"/>
      <c r="P36" s="143"/>
      <c r="Q36" s="143"/>
      <c r="R36" s="143"/>
      <c r="S36" s="143"/>
      <c r="T36" s="143"/>
      <c r="U36" s="143"/>
      <c r="V36" s="143"/>
      <c r="W36" s="143"/>
      <c r="X36" s="143"/>
      <c r="Y36" s="143"/>
      <c r="Z36" s="143"/>
      <c r="AA36" s="143"/>
      <c r="AB36" s="143"/>
      <c r="AC36" s="143"/>
      <c r="AD36" s="143"/>
      <c r="AE36" s="143"/>
      <c r="AF36" s="143"/>
      <c r="AG36" s="143"/>
    </row>
    <row r="37" spans="2:34" ht="15" customHeight="1" x14ac:dyDescent="0.25">
      <c r="B37" s="272" t="str">
        <f>HLOOKUP(VIONARO!I4,'SPRACHE TITEL'!D:N,2,FALSE)</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row>
    <row r="38" spans="2:34" ht="15" customHeight="1" x14ac:dyDescent="0.25">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2:34" ht="15" customHeight="1" x14ac:dyDescent="0.25">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row>
    <row r="40" spans="2:34" ht="15" customHeight="1" x14ac:dyDescent="0.25">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row>
    <row r="41" spans="2:34" ht="15" customHeight="1" x14ac:dyDescent="0.25">
      <c r="B41" s="124"/>
      <c r="C41" s="124"/>
      <c r="D41" s="124"/>
      <c r="E41" s="124"/>
      <c r="F41" s="124"/>
      <c r="G41" s="124"/>
      <c r="H41" s="124"/>
      <c r="I41" s="124"/>
      <c r="J41" s="124"/>
      <c r="K41" s="125"/>
    </row>
  </sheetData>
  <sheetProtection password="ED45" sheet="1" objects="1" scenarios="1" selectLockedCells="1" autoFilter="0"/>
  <mergeCells count="106">
    <mergeCell ref="B31:G31"/>
    <mergeCell ref="H31:N31"/>
    <mergeCell ref="O31:W31"/>
    <mergeCell ref="X31:AC31"/>
    <mergeCell ref="AD31:AG31"/>
    <mergeCell ref="O25:W25"/>
    <mergeCell ref="O26:W26"/>
    <mergeCell ref="O27:W27"/>
    <mergeCell ref="O28:W28"/>
    <mergeCell ref="O35:W35"/>
    <mergeCell ref="X35:AC35"/>
    <mergeCell ref="AD35:AG35"/>
    <mergeCell ref="X19:AC19"/>
    <mergeCell ref="X20:AC20"/>
    <mergeCell ref="X21:AC21"/>
    <mergeCell ref="X22:AC22"/>
    <mergeCell ref="X23:AC23"/>
    <mergeCell ref="X24:AC24"/>
    <mergeCell ref="X25:AC25"/>
    <mergeCell ref="X26:AC26"/>
    <mergeCell ref="X27:AC27"/>
    <mergeCell ref="O29:W29"/>
    <mergeCell ref="O30:W30"/>
    <mergeCell ref="AD25:AG25"/>
    <mergeCell ref="AD26:AG26"/>
    <mergeCell ref="AD27:AG27"/>
    <mergeCell ref="AD28:AG28"/>
    <mergeCell ref="O24:W24"/>
    <mergeCell ref="X29:AC29"/>
    <mergeCell ref="X30:AC30"/>
    <mergeCell ref="AD29:AG29"/>
    <mergeCell ref="AD30:AG30"/>
    <mergeCell ref="X28:AC28"/>
    <mergeCell ref="AD19:AG19"/>
    <mergeCell ref="AD20:AG20"/>
    <mergeCell ref="AD21:AG21"/>
    <mergeCell ref="AD22:AG22"/>
    <mergeCell ref="AD23:AG23"/>
    <mergeCell ref="AD24:AG24"/>
    <mergeCell ref="B37:AG40"/>
    <mergeCell ref="B32:G32"/>
    <mergeCell ref="H32:N32"/>
    <mergeCell ref="O32:W32"/>
    <mergeCell ref="X32:AC32"/>
    <mergeCell ref="AD32:AG32"/>
    <mergeCell ref="B33:G33"/>
    <mergeCell ref="H33:N33"/>
    <mergeCell ref="O33:W33"/>
    <mergeCell ref="X33:AC33"/>
    <mergeCell ref="AD33:AG33"/>
    <mergeCell ref="B34:G34"/>
    <mergeCell ref="H34:N34"/>
    <mergeCell ref="O34:W34"/>
    <mergeCell ref="X34:AC34"/>
    <mergeCell ref="AD34:AG34"/>
    <mergeCell ref="B35:G35"/>
    <mergeCell ref="H35:N35"/>
    <mergeCell ref="O19:W19"/>
    <mergeCell ref="O20:W20"/>
    <mergeCell ref="O21:W21"/>
    <mergeCell ref="O22:W22"/>
    <mergeCell ref="O23:W23"/>
    <mergeCell ref="H19:N19"/>
    <mergeCell ref="H20:N20"/>
    <mergeCell ref="H21:N21"/>
    <mergeCell ref="H22:N22"/>
    <mergeCell ref="H23:N23"/>
    <mergeCell ref="AC5:AG5"/>
    <mergeCell ref="G6:I6"/>
    <mergeCell ref="B16:G16"/>
    <mergeCell ref="B17:G17"/>
    <mergeCell ref="B18:G18"/>
    <mergeCell ref="H16:N16"/>
    <mergeCell ref="H17:N17"/>
    <mergeCell ref="H18:N18"/>
    <mergeCell ref="O16:W16"/>
    <mergeCell ref="O17:W17"/>
    <mergeCell ref="O18:W18"/>
    <mergeCell ref="E9:E10"/>
    <mergeCell ref="E11:E12"/>
    <mergeCell ref="E13:E14"/>
    <mergeCell ref="X16:AC16"/>
    <mergeCell ref="X17:AC17"/>
    <mergeCell ref="X18:AC18"/>
    <mergeCell ref="AD16:AG16"/>
    <mergeCell ref="AD17:AG17"/>
    <mergeCell ref="AD18:AG18"/>
    <mergeCell ref="B19:G19"/>
    <mergeCell ref="B20:G20"/>
    <mergeCell ref="B28:G28"/>
    <mergeCell ref="H27:N27"/>
    <mergeCell ref="H28:N28"/>
    <mergeCell ref="B29:G29"/>
    <mergeCell ref="B30:G30"/>
    <mergeCell ref="H29:N29"/>
    <mergeCell ref="H30:N30"/>
    <mergeCell ref="B21:G21"/>
    <mergeCell ref="B22:G22"/>
    <mergeCell ref="B23:G23"/>
    <mergeCell ref="B24:G24"/>
    <mergeCell ref="B25:G25"/>
    <mergeCell ref="B26:G26"/>
    <mergeCell ref="B27:G27"/>
    <mergeCell ref="H24:N24"/>
    <mergeCell ref="H25:N25"/>
    <mergeCell ref="H26:N26"/>
  </mergeCells>
  <pageMargins left="0.25" right="0.25" top="0.75" bottom="0.75" header="0.3" footer="0.3"/>
  <pageSetup paperSize="9" scale="83"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pageSetUpPr fitToPage="1"/>
  </sheetPr>
  <dimension ref="A1:AG119"/>
  <sheetViews>
    <sheetView showGridLines="0" showRowColHeaders="0" topLeftCell="A25" zoomScaleNormal="100" workbookViewId="0">
      <selection activeCell="AH27" sqref="AH27"/>
    </sheetView>
  </sheetViews>
  <sheetFormatPr defaultColWidth="3.7109375" defaultRowHeight="15" x14ac:dyDescent="0.25"/>
  <cols>
    <col min="1" max="16384" width="3.7109375" style="51"/>
  </cols>
  <sheetData>
    <row r="1" spans="1:33" x14ac:dyDescent="0.25">
      <c r="A1" s="123"/>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row>
    <row r="2" spans="1:33" ht="81.75" customHeight="1" x14ac:dyDescent="0.25">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row>
    <row r="3" spans="1:33" x14ac:dyDescent="0.25">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35" t="str">
        <f>START!L3</f>
        <v>V3.4</v>
      </c>
    </row>
    <row r="4" spans="1:33" x14ac:dyDescent="0.25">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row>
    <row r="5" spans="1:33" x14ac:dyDescent="0.25">
      <c r="A5" s="123"/>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269" t="str">
        <f>HLOOKUP(VIONARO!I4,Sprachen!A2:K43,32,FALSE)</f>
        <v>Powrót</v>
      </c>
      <c r="AD5" s="269"/>
      <c r="AE5" s="269"/>
      <c r="AF5" s="269"/>
      <c r="AG5" s="269"/>
    </row>
    <row r="6" spans="1:33" ht="15.75" thickBot="1" x14ac:dyDescent="0.3">
      <c r="A6" s="123"/>
      <c r="B6" s="134" t="str">
        <f>HLOOKUP(VIONARO!I4,Sprachen!A2:K43,21,FALSE)</f>
        <v>Dane projektowe</v>
      </c>
      <c r="C6" s="136"/>
      <c r="D6" s="136"/>
      <c r="E6" s="136"/>
      <c r="F6" s="136"/>
      <c r="G6" s="264">
        <f ca="1">TODAY()</f>
        <v>42629</v>
      </c>
      <c r="H6" s="264"/>
      <c r="I6" s="264"/>
      <c r="J6" s="136"/>
      <c r="K6" s="136"/>
      <c r="L6" s="136"/>
      <c r="M6" s="136"/>
      <c r="N6" s="136"/>
      <c r="O6" s="136"/>
      <c r="P6" s="136"/>
      <c r="Q6" s="136"/>
      <c r="R6" s="136"/>
      <c r="S6" s="136"/>
      <c r="T6" s="136"/>
      <c r="U6" s="136"/>
      <c r="V6" s="136"/>
      <c r="W6" s="136"/>
      <c r="X6" s="136"/>
      <c r="Y6" s="136"/>
      <c r="Z6" s="136"/>
      <c r="AA6" s="136"/>
      <c r="AB6" s="136"/>
      <c r="AC6" s="136"/>
      <c r="AD6" s="136"/>
      <c r="AE6" s="136"/>
      <c r="AF6" s="136"/>
      <c r="AG6" s="136"/>
    </row>
    <row r="7" spans="1:33" x14ac:dyDescent="0.25">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row>
    <row r="8" spans="1:33" x14ac:dyDescent="0.25">
      <c r="A8" s="120"/>
      <c r="B8" s="120"/>
      <c r="C8" s="120"/>
      <c r="D8" s="120"/>
      <c r="E8" s="120"/>
      <c r="F8" s="147"/>
      <c r="G8" s="137"/>
      <c r="H8" s="148" t="str">
        <f>HLOOKUP(VIONARO!I4,Sprachen!A2:K43,22,FALSE)</f>
        <v>Wymiary zewnętrzne korpusu</v>
      </c>
      <c r="I8" s="149"/>
      <c r="J8" s="149"/>
      <c r="K8" s="149"/>
      <c r="L8" s="149"/>
      <c r="M8" s="149"/>
      <c r="N8" s="150"/>
      <c r="O8" s="120"/>
      <c r="P8" s="120"/>
      <c r="Q8" s="120"/>
      <c r="R8" s="120"/>
      <c r="S8" s="120"/>
      <c r="T8" s="120"/>
      <c r="U8" s="120"/>
      <c r="V8" s="120"/>
      <c r="W8" s="120"/>
      <c r="X8" s="120"/>
      <c r="Y8" s="120"/>
      <c r="Z8" s="120"/>
      <c r="AA8" s="120"/>
      <c r="AB8" s="120"/>
      <c r="AC8" s="120"/>
      <c r="AD8" s="120"/>
      <c r="AE8" s="120"/>
      <c r="AF8" s="120"/>
      <c r="AG8" s="120"/>
    </row>
    <row r="9" spans="1:33" x14ac:dyDescent="0.25">
      <c r="A9" s="120"/>
      <c r="B9" s="120"/>
      <c r="C9" s="120"/>
      <c r="D9" s="120"/>
      <c r="E9" s="263"/>
      <c r="F9" s="147"/>
      <c r="G9" s="137"/>
      <c r="H9" s="151" t="str">
        <f>HLOOKUP(VIONARO!I4,Sprachen!A2:K43,23,FALSE)</f>
        <v>Szerokość</v>
      </c>
      <c r="I9" s="151"/>
      <c r="J9" s="151"/>
      <c r="K9" s="151"/>
      <c r="L9" s="153" t="str">
        <f>IF(VIONARO!I7="","",CONCATENATE(VIONARO!I7," MM"))</f>
        <v>600 MM</v>
      </c>
      <c r="M9" s="153"/>
      <c r="N9" s="153"/>
      <c r="O9" s="120"/>
      <c r="P9" s="120"/>
      <c r="Q9" s="120"/>
      <c r="R9" s="120"/>
      <c r="S9" s="120"/>
      <c r="T9" s="120"/>
      <c r="U9" s="120"/>
      <c r="V9" s="120"/>
      <c r="W9" s="120"/>
      <c r="X9" s="120"/>
      <c r="Y9" s="120"/>
      <c r="Z9" s="120"/>
      <c r="AA9" s="120"/>
      <c r="AB9" s="120"/>
      <c r="AC9" s="120"/>
      <c r="AD9" s="120"/>
      <c r="AE9" s="120"/>
      <c r="AF9" s="120"/>
      <c r="AG9" s="120"/>
    </row>
    <row r="10" spans="1:33" x14ac:dyDescent="0.25">
      <c r="A10" s="120"/>
      <c r="B10" s="138" t="str">
        <f>IF(VIONARO!I10&lt;4,"",VIONARO!H34)</f>
        <v/>
      </c>
      <c r="C10" s="120"/>
      <c r="D10" s="122"/>
      <c r="E10" s="263"/>
      <c r="F10" s="147"/>
      <c r="G10" s="137"/>
      <c r="H10" s="152" t="str">
        <f>HLOOKUP(VIONARO!I4,Sprachen!A2:K43,24,FALSE)</f>
        <v>Wysokość</v>
      </c>
      <c r="I10" s="152"/>
      <c r="J10" s="152"/>
      <c r="K10" s="152"/>
      <c r="L10" s="154" t="str">
        <f>IF(VIONARO!K19="","",CONCATENATE(VIONARO!K19," MM"))</f>
        <v>705 MM</v>
      </c>
      <c r="M10" s="154"/>
      <c r="N10" s="154"/>
      <c r="O10" s="120"/>
      <c r="P10" s="120"/>
      <c r="Q10" s="120"/>
      <c r="R10" s="120"/>
      <c r="S10" s="120"/>
      <c r="T10" s="120"/>
      <c r="U10" s="120"/>
      <c r="V10" s="120"/>
      <c r="W10" s="120"/>
      <c r="X10" s="120"/>
      <c r="Y10" s="120"/>
      <c r="Z10" s="120"/>
      <c r="AA10" s="120"/>
      <c r="AB10" s="120"/>
      <c r="AC10" s="120"/>
      <c r="AD10" s="120"/>
      <c r="AE10" s="120"/>
      <c r="AF10" s="120"/>
      <c r="AG10" s="120"/>
    </row>
    <row r="11" spans="1:33" x14ac:dyDescent="0.25">
      <c r="A11" s="120"/>
      <c r="B11" s="138"/>
      <c r="C11" s="120"/>
      <c r="D11" s="122"/>
      <c r="E11" s="263"/>
      <c r="F11" s="147"/>
      <c r="G11" s="137"/>
      <c r="H11" s="152" t="str">
        <f>HLOOKUP(VIONARO!I4,Sprachen!A2:K43,25,FALSE)</f>
        <v>Głębokość</v>
      </c>
      <c r="I11" s="152"/>
      <c r="J11" s="152"/>
      <c r="K11" s="152"/>
      <c r="L11" s="154" t="str">
        <f>IF(VIONARO!I8="","",CONCATENATE(VIONARO!I8," MM"))</f>
        <v>508 MM</v>
      </c>
      <c r="M11" s="154"/>
      <c r="N11" s="154"/>
      <c r="O11" s="120"/>
      <c r="P11" s="120"/>
      <c r="Q11" s="120"/>
      <c r="R11" s="120"/>
      <c r="S11" s="120"/>
      <c r="T11" s="120"/>
      <c r="U11" s="120"/>
      <c r="V11" s="120"/>
      <c r="W11" s="120"/>
      <c r="X11" s="120"/>
      <c r="Y11" s="120"/>
      <c r="Z11" s="120"/>
      <c r="AA11" s="120"/>
      <c r="AB11" s="120"/>
      <c r="AC11" s="120"/>
      <c r="AD11" s="120"/>
      <c r="AE11" s="120"/>
      <c r="AF11" s="120"/>
      <c r="AG11" s="120"/>
    </row>
    <row r="12" spans="1:33" x14ac:dyDescent="0.25">
      <c r="A12" s="120"/>
      <c r="B12" s="138" t="str">
        <f>IF(VIONARO!I10&lt;3,"",VIONARO!H33)</f>
        <v/>
      </c>
      <c r="C12" s="120"/>
      <c r="D12" s="122"/>
      <c r="E12" s="263"/>
      <c r="F12" s="147"/>
      <c r="G12" s="137"/>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row>
    <row r="13" spans="1:33" x14ac:dyDescent="0.25">
      <c r="A13" s="120"/>
      <c r="B13" s="138"/>
      <c r="C13" s="120"/>
      <c r="D13" s="122"/>
      <c r="E13" s="263"/>
      <c r="F13" s="147"/>
      <c r="G13" s="137"/>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row>
    <row r="14" spans="1:33" x14ac:dyDescent="0.25">
      <c r="A14" s="120"/>
      <c r="B14" s="138" t="str">
        <f>IF(VIONARO!I10&lt;2,"",VIONARO!H32)</f>
        <v>587</v>
      </c>
      <c r="C14" s="120"/>
      <c r="D14" s="122"/>
      <c r="E14" s="263"/>
      <c r="F14" s="147"/>
      <c r="G14" s="137"/>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row>
    <row r="15" spans="1:33" x14ac:dyDescent="0.25">
      <c r="A15" s="123"/>
      <c r="B15" s="70" t="str">
        <f>HLOOKUP(VIONARO!I4,Sprachen!A2:K43,42,FALSE)</f>
        <v>Wszystkie wymiary w mm</v>
      </c>
      <c r="C15" s="99"/>
      <c r="D15" s="79"/>
      <c r="E15" s="156"/>
      <c r="F15" s="155"/>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row>
    <row r="16" spans="1:33" x14ac:dyDescent="0.25">
      <c r="A16" s="123"/>
      <c r="B16" s="70"/>
      <c r="C16" s="99"/>
      <c r="D16" s="79"/>
      <c r="E16" s="156"/>
      <c r="F16" s="155"/>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row>
    <row r="17" spans="1:33" x14ac:dyDescent="0.25">
      <c r="A17" s="123"/>
      <c r="B17" s="70"/>
      <c r="C17" s="99"/>
      <c r="D17" s="79"/>
      <c r="E17" s="156"/>
      <c r="F17" s="155"/>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row>
    <row r="18" spans="1:33" x14ac:dyDescent="0.25">
      <c r="A18" s="123"/>
      <c r="B18" s="70"/>
      <c r="C18" s="99"/>
      <c r="D18" s="79"/>
      <c r="E18" s="156"/>
      <c r="F18" s="155"/>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row>
    <row r="19" spans="1:33" x14ac:dyDescent="0.25">
      <c r="A19" s="123"/>
      <c r="B19" s="70"/>
      <c r="C19" s="99"/>
      <c r="D19" s="79"/>
      <c r="E19" s="156"/>
      <c r="F19" s="155"/>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row>
    <row r="20" spans="1:33" x14ac:dyDescent="0.25">
      <c r="A20" s="123"/>
      <c r="B20" s="70"/>
      <c r="C20" s="99"/>
      <c r="D20" s="79"/>
      <c r="E20" s="156"/>
      <c r="F20" s="155"/>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row>
    <row r="21" spans="1:33" x14ac:dyDescent="0.25">
      <c r="A21" s="123"/>
      <c r="B21" s="70"/>
      <c r="C21" s="99"/>
      <c r="D21" s="79"/>
      <c r="E21" s="156"/>
      <c r="F21" s="155"/>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row>
    <row r="22" spans="1:33" x14ac:dyDescent="0.25">
      <c r="A22" s="123"/>
      <c r="B22" s="70"/>
      <c r="C22" s="99"/>
      <c r="D22" s="79"/>
      <c r="E22" s="156"/>
      <c r="F22" s="155"/>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row>
    <row r="23" spans="1:33" x14ac:dyDescent="0.25">
      <c r="A23" s="123"/>
      <c r="B23" s="70"/>
      <c r="C23" s="99"/>
      <c r="D23" s="79"/>
      <c r="E23" s="156"/>
      <c r="F23" s="155"/>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row>
    <row r="24" spans="1:33" x14ac:dyDescent="0.25">
      <c r="A24" s="123"/>
      <c r="B24" s="70"/>
      <c r="C24" s="99"/>
      <c r="D24" s="79"/>
      <c r="E24" s="156"/>
      <c r="F24" s="155"/>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row>
    <row r="25" spans="1:33" x14ac:dyDescent="0.25">
      <c r="A25" s="123"/>
      <c r="B25" s="70"/>
      <c r="C25" s="99"/>
      <c r="D25" s="79"/>
      <c r="E25" s="156"/>
      <c r="F25" s="155"/>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row>
    <row r="26" spans="1:33" x14ac:dyDescent="0.25">
      <c r="A26" s="123"/>
      <c r="B26" s="70"/>
      <c r="C26" s="99"/>
      <c r="D26" s="79"/>
      <c r="E26" s="156"/>
      <c r="F26" s="155"/>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row>
    <row r="27" spans="1:33" x14ac:dyDescent="0.25">
      <c r="A27" s="123"/>
      <c r="B27" s="70"/>
      <c r="C27" s="99"/>
      <c r="D27" s="79"/>
      <c r="E27" s="156"/>
      <c r="F27" s="155"/>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row>
    <row r="28" spans="1:33" x14ac:dyDescent="0.25">
      <c r="A28" s="123"/>
      <c r="B28" s="70"/>
      <c r="C28" s="99"/>
      <c r="D28" s="79"/>
      <c r="E28" s="156"/>
      <c r="F28" s="155"/>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row>
    <row r="29" spans="1:33" x14ac:dyDescent="0.25">
      <c r="A29" s="123"/>
      <c r="B29" s="70"/>
      <c r="C29" s="99"/>
      <c r="D29" s="79"/>
      <c r="E29" s="156"/>
      <c r="F29" s="155"/>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row>
    <row r="30" spans="1:33" x14ac:dyDescent="0.25">
      <c r="A30" s="123"/>
      <c r="B30" s="70"/>
      <c r="C30" s="99"/>
      <c r="D30" s="79"/>
      <c r="E30" s="156"/>
      <c r="F30" s="155"/>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row>
    <row r="31" spans="1:33" x14ac:dyDescent="0.25">
      <c r="A31" s="123"/>
      <c r="B31" s="70"/>
      <c r="C31" s="99"/>
      <c r="D31" s="79"/>
      <c r="E31" s="156"/>
      <c r="F31" s="155"/>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row>
    <row r="32" spans="1:33" x14ac:dyDescent="0.25">
      <c r="A32" s="123"/>
      <c r="B32" s="70"/>
      <c r="C32" s="99"/>
      <c r="D32" s="79"/>
      <c r="E32" s="156"/>
      <c r="F32" s="155"/>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row>
    <row r="33" spans="1:33" x14ac:dyDescent="0.25">
      <c r="A33" s="123"/>
      <c r="B33" s="70"/>
      <c r="C33" s="99"/>
      <c r="D33" s="79"/>
      <c r="E33" s="156"/>
      <c r="F33" s="155"/>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row>
    <row r="34" spans="1:33" x14ac:dyDescent="0.25">
      <c r="A34" s="123"/>
      <c r="B34" s="70"/>
      <c r="C34" s="99"/>
      <c r="D34" s="79"/>
      <c r="E34" s="156"/>
      <c r="F34" s="155"/>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row>
    <row r="35" spans="1:33" x14ac:dyDescent="0.25">
      <c r="A35" s="123"/>
      <c r="B35" s="70"/>
      <c r="C35" s="99"/>
      <c r="D35" s="79"/>
      <c r="E35" s="156"/>
      <c r="F35" s="155"/>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row>
    <row r="36" spans="1:33" x14ac:dyDescent="0.25">
      <c r="A36" s="123"/>
      <c r="B36" s="70"/>
      <c r="C36" s="99"/>
      <c r="D36" s="79"/>
      <c r="E36" s="156"/>
      <c r="F36" s="155"/>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row>
    <row r="37" spans="1:33" x14ac:dyDescent="0.25">
      <c r="A37" s="123"/>
      <c r="B37" s="70"/>
      <c r="C37" s="99"/>
      <c r="D37" s="79"/>
      <c r="E37" s="156"/>
      <c r="F37" s="155"/>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row>
    <row r="38" spans="1:33" x14ac:dyDescent="0.25">
      <c r="A38" s="123"/>
      <c r="B38" s="70"/>
      <c r="C38" s="99"/>
      <c r="D38" s="79"/>
      <c r="E38" s="156"/>
      <c r="F38" s="155"/>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row>
    <row r="39" spans="1:33" x14ac:dyDescent="0.25">
      <c r="A39" s="123"/>
      <c r="B39" s="70"/>
      <c r="C39" s="99"/>
      <c r="D39" s="79"/>
      <c r="E39" s="156"/>
      <c r="F39" s="155"/>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row>
    <row r="40" spans="1:33" x14ac:dyDescent="0.25">
      <c r="A40" s="123"/>
      <c r="B40" s="70"/>
      <c r="C40" s="99"/>
      <c r="D40" s="79"/>
      <c r="E40" s="156"/>
      <c r="F40" s="155"/>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row>
    <row r="53" spans="1:33" ht="15.75" thickBot="1" x14ac:dyDescent="0.3"/>
    <row r="54" spans="1:33" x14ac:dyDescent="0.25">
      <c r="B54" s="272" t="str">
        <f>HLOOKUP(VIONARO!I4,'SPRACHE TITEL'!D:N,2,FALSE)</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row>
    <row r="55" spans="1:33" x14ac:dyDescent="0.2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row>
    <row r="56" spans="1:33" x14ac:dyDescent="0.2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row>
    <row r="57" spans="1:33" x14ac:dyDescent="0.25">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row>
    <row r="58" spans="1:33" x14ac:dyDescent="0.25">
      <c r="A58" s="123"/>
      <c r="B58" s="70"/>
      <c r="C58" s="99"/>
      <c r="D58" s="79"/>
      <c r="E58" s="156"/>
      <c r="F58" s="155"/>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row>
    <row r="59" spans="1:33" x14ac:dyDescent="0.25">
      <c r="A59" s="123"/>
      <c r="B59" s="70"/>
      <c r="C59" s="99"/>
      <c r="D59" s="79"/>
      <c r="E59" s="156"/>
      <c r="F59" s="155"/>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row>
    <row r="60" spans="1:33" x14ac:dyDescent="0.25">
      <c r="A60" s="123"/>
      <c r="B60" s="70"/>
      <c r="C60" s="99"/>
      <c r="D60" s="79"/>
      <c r="E60" s="156"/>
      <c r="F60" s="155"/>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1" spans="1:33" x14ac:dyDescent="0.25">
      <c r="A61" s="123"/>
      <c r="B61" s="70"/>
      <c r="C61" s="99"/>
      <c r="D61" s="79"/>
      <c r="E61" s="156"/>
      <c r="F61" s="155"/>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row>
    <row r="62" spans="1:33" x14ac:dyDescent="0.25">
      <c r="A62" s="123"/>
      <c r="B62" s="70"/>
      <c r="C62" s="99"/>
      <c r="D62" s="79"/>
      <c r="E62" s="156"/>
      <c r="F62" s="155"/>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row>
    <row r="63" spans="1:33" x14ac:dyDescent="0.25">
      <c r="A63" s="123"/>
      <c r="B63" s="70"/>
      <c r="C63" s="99"/>
      <c r="D63" s="79"/>
      <c r="E63" s="156"/>
      <c r="F63" s="155"/>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row>
    <row r="64" spans="1:33" x14ac:dyDescent="0.25">
      <c r="A64" s="123"/>
      <c r="B64" s="70"/>
      <c r="C64" s="99"/>
      <c r="D64" s="79"/>
      <c r="E64" s="156"/>
      <c r="F64" s="155"/>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row>
    <row r="65" spans="1:33" x14ac:dyDescent="0.25">
      <c r="A65" s="123"/>
      <c r="B65" s="70"/>
      <c r="C65" s="99"/>
      <c r="D65" s="79"/>
      <c r="E65" s="156"/>
      <c r="F65" s="155"/>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row>
    <row r="66" spans="1:33" x14ac:dyDescent="0.25">
      <c r="A66" s="123"/>
      <c r="B66" s="70"/>
      <c r="C66" s="99"/>
      <c r="D66" s="79"/>
      <c r="E66" s="156"/>
      <c r="F66" s="155"/>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row>
    <row r="67" spans="1:33" x14ac:dyDescent="0.25">
      <c r="A67" s="123"/>
      <c r="B67" s="70"/>
      <c r="C67" s="99"/>
      <c r="D67" s="79"/>
      <c r="E67" s="156"/>
      <c r="F67" s="155"/>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row>
    <row r="68" spans="1:33" x14ac:dyDescent="0.25">
      <c r="A68" s="123"/>
      <c r="B68" s="70"/>
      <c r="C68" s="99"/>
      <c r="D68" s="79"/>
      <c r="E68" s="156"/>
      <c r="F68" s="155"/>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row>
    <row r="69" spans="1:33" x14ac:dyDescent="0.25">
      <c r="A69" s="123"/>
      <c r="B69" s="70"/>
      <c r="C69" s="99"/>
      <c r="D69" s="79"/>
      <c r="E69" s="156"/>
      <c r="F69" s="155"/>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row>
    <row r="70" spans="1:33" x14ac:dyDescent="0.25">
      <c r="A70" s="123"/>
      <c r="B70" s="70"/>
      <c r="C70" s="99"/>
      <c r="D70" s="79"/>
      <c r="E70" s="156"/>
      <c r="F70" s="155"/>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row>
    <row r="71" spans="1:33" x14ac:dyDescent="0.25">
      <c r="A71" s="123"/>
      <c r="B71" s="70"/>
      <c r="C71" s="99"/>
      <c r="D71" s="79"/>
      <c r="E71" s="156"/>
      <c r="F71" s="155"/>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row>
    <row r="72" spans="1:33" x14ac:dyDescent="0.25">
      <c r="A72" s="123"/>
      <c r="B72" s="70"/>
      <c r="C72" s="99"/>
      <c r="D72" s="79"/>
      <c r="E72" s="156"/>
      <c r="F72" s="155"/>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row>
    <row r="73" spans="1:33" x14ac:dyDescent="0.25">
      <c r="A73" s="123"/>
      <c r="B73" s="70"/>
      <c r="C73" s="99"/>
      <c r="D73" s="79"/>
      <c r="E73" s="156"/>
      <c r="F73" s="155"/>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row>
    <row r="74" spans="1:33" x14ac:dyDescent="0.25">
      <c r="A74" s="123"/>
      <c r="B74" s="70"/>
      <c r="C74" s="99"/>
      <c r="D74" s="79"/>
      <c r="E74" s="156"/>
      <c r="F74" s="155"/>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row>
    <row r="75" spans="1:33" x14ac:dyDescent="0.25">
      <c r="A75" s="123"/>
      <c r="B75" s="70"/>
      <c r="C75" s="99"/>
      <c r="D75" s="79"/>
      <c r="E75" s="156"/>
      <c r="F75" s="155"/>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row>
    <row r="76" spans="1:33" x14ac:dyDescent="0.25">
      <c r="A76" s="123"/>
      <c r="B76" s="70"/>
      <c r="C76" s="99"/>
      <c r="D76" s="79"/>
      <c r="E76" s="156"/>
      <c r="F76" s="155"/>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row>
    <row r="77" spans="1:33" x14ac:dyDescent="0.25">
      <c r="A77" s="123"/>
      <c r="B77" s="70"/>
      <c r="C77" s="99"/>
      <c r="D77" s="79"/>
      <c r="E77" s="156"/>
      <c r="F77" s="155"/>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row>
    <row r="78" spans="1:33" x14ac:dyDescent="0.25">
      <c r="A78" s="123"/>
      <c r="B78" s="70"/>
      <c r="C78" s="99"/>
      <c r="D78" s="79"/>
      <c r="E78" s="156"/>
      <c r="F78" s="155"/>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row>
    <row r="79" spans="1:33" x14ac:dyDescent="0.25">
      <c r="A79" s="123"/>
      <c r="B79" s="70"/>
      <c r="C79" s="99"/>
      <c r="D79" s="79"/>
      <c r="E79" s="156"/>
      <c r="F79" s="155"/>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row>
    <row r="80" spans="1:33" x14ac:dyDescent="0.25">
      <c r="A80" s="123"/>
      <c r="B80" s="70"/>
      <c r="C80" s="99"/>
      <c r="D80" s="79"/>
      <c r="E80" s="156"/>
      <c r="F80" s="155"/>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row>
    <row r="81" spans="1:33" x14ac:dyDescent="0.25">
      <c r="A81" s="123"/>
      <c r="B81" s="70"/>
      <c r="C81" s="99"/>
      <c r="D81" s="79"/>
      <c r="E81" s="156"/>
      <c r="F81" s="155"/>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row>
    <row r="82" spans="1:33" x14ac:dyDescent="0.25">
      <c r="A82" s="123"/>
      <c r="B82" s="70"/>
      <c r="C82" s="99"/>
      <c r="D82" s="79"/>
      <c r="E82" s="156"/>
      <c r="F82" s="155"/>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row>
    <row r="95" spans="1:33" ht="15.75" thickBot="1" x14ac:dyDescent="0.3"/>
    <row r="96" spans="1:33" x14ac:dyDescent="0.25">
      <c r="B96" s="272" t="str">
        <f>HLOOKUP(VIONARO!I4,'SPRACHE TITEL'!D:N,2,FALSE)</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row>
    <row r="97" spans="2:33" x14ac:dyDescent="0.25">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row>
    <row r="98" spans="2:33" x14ac:dyDescent="0.25">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row>
    <row r="99" spans="2:33" x14ac:dyDescent="0.25">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row>
    <row r="100" spans="2:33" x14ac:dyDescent="0.25">
      <c r="B100" s="70"/>
      <c r="C100" s="99"/>
      <c r="D100" s="79"/>
      <c r="E100" s="156"/>
      <c r="F100" s="155"/>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row>
    <row r="101" spans="2:33" x14ac:dyDescent="0.25">
      <c r="B101" s="70"/>
      <c r="C101" s="99"/>
      <c r="D101" s="79"/>
      <c r="E101" s="156"/>
      <c r="F101" s="155"/>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row>
    <row r="102" spans="2:33" x14ac:dyDescent="0.25">
      <c r="B102" s="70"/>
      <c r="C102" s="99"/>
      <c r="D102" s="79"/>
      <c r="E102" s="156"/>
      <c r="F102" s="155"/>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row>
    <row r="103" spans="2:33" x14ac:dyDescent="0.25">
      <c r="B103" s="70"/>
      <c r="C103" s="99"/>
      <c r="D103" s="79"/>
      <c r="E103" s="156"/>
      <c r="F103" s="155"/>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row>
    <row r="104" spans="2:33" x14ac:dyDescent="0.25">
      <c r="B104" s="70"/>
      <c r="C104" s="99"/>
      <c r="D104" s="79"/>
      <c r="E104" s="156"/>
      <c r="F104" s="155"/>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row>
    <row r="105" spans="2:33" x14ac:dyDescent="0.25">
      <c r="B105" s="70"/>
      <c r="C105" s="99"/>
      <c r="D105" s="79"/>
      <c r="E105" s="156"/>
      <c r="F105" s="155"/>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row>
    <row r="106" spans="2:33" x14ac:dyDescent="0.25">
      <c r="B106" s="70"/>
      <c r="C106" s="99"/>
      <c r="D106" s="79"/>
      <c r="E106" s="156"/>
      <c r="F106" s="155"/>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row>
    <row r="107" spans="2:33" x14ac:dyDescent="0.25">
      <c r="B107" s="70"/>
      <c r="C107" s="99"/>
      <c r="D107" s="79"/>
      <c r="E107" s="156"/>
      <c r="F107" s="155"/>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row>
    <row r="108" spans="2:33" x14ac:dyDescent="0.25">
      <c r="B108" s="70"/>
      <c r="C108" s="99"/>
      <c r="D108" s="79"/>
      <c r="E108" s="156"/>
      <c r="F108" s="155"/>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row>
    <row r="109" spans="2:33" x14ac:dyDescent="0.25">
      <c r="B109" s="70"/>
      <c r="C109" s="99"/>
      <c r="D109" s="79"/>
      <c r="E109" s="156"/>
      <c r="F109" s="155"/>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row>
    <row r="110" spans="2:33" x14ac:dyDescent="0.25">
      <c r="B110" s="70"/>
      <c r="C110" s="99"/>
      <c r="D110" s="79"/>
      <c r="E110" s="156"/>
      <c r="F110" s="155"/>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row>
    <row r="111" spans="2:33" x14ac:dyDescent="0.25">
      <c r="B111" s="70"/>
      <c r="C111" s="99"/>
      <c r="D111" s="79"/>
      <c r="E111" s="156"/>
      <c r="F111" s="155"/>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row>
    <row r="112" spans="2:33" x14ac:dyDescent="0.25">
      <c r="B112" s="70"/>
      <c r="C112" s="99"/>
      <c r="D112" s="79"/>
      <c r="E112" s="156"/>
      <c r="F112" s="155"/>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row>
    <row r="113" spans="2:33" x14ac:dyDescent="0.25">
      <c r="B113" s="70"/>
      <c r="C113" s="99"/>
      <c r="D113" s="79"/>
      <c r="E113" s="156"/>
      <c r="F113" s="155"/>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row>
    <row r="114" spans="2:33" x14ac:dyDescent="0.25">
      <c r="B114" s="70"/>
      <c r="C114" s="99"/>
      <c r="D114" s="79"/>
      <c r="E114" s="156"/>
      <c r="F114" s="155"/>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row>
    <row r="115" spans="2:33" ht="15.75" thickBot="1" x14ac:dyDescent="0.3">
      <c r="B115" s="70"/>
      <c r="C115" s="99"/>
      <c r="D115" s="79"/>
      <c r="E115" s="156"/>
      <c r="F115" s="155"/>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row>
    <row r="116" spans="2:33" x14ac:dyDescent="0.25">
      <c r="B116" s="272" t="str">
        <f>HLOOKUP(VIONARO!I4,'SPRACHE TITEL'!D:N,2,FALSE)</f>
        <v>Zastrzegamy możliwość wprowadzenie zmian. Możliwość wystąpienia błędów i pomyłek. Użytkowanie konfiguratora tylko na własną odpowiedzialność.
Firma GRASS GmbH &amp; Co. nie ponosi odpowiedzialności z błędny wynik konfiguratora. Wyniki konfiguratora należy traktować tylko jako rekomendację. 
Zalecamy wykonanie prób. W przypadku pytań lub niejasności prosimy o kontakt z konsultantami.</v>
      </c>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row>
    <row r="117" spans="2:33" x14ac:dyDescent="0.25">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row>
    <row r="118" spans="2:33" x14ac:dyDescent="0.25">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row>
    <row r="119" spans="2:33" x14ac:dyDescent="0.25">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row>
  </sheetData>
  <sheetProtection password="ED45" sheet="1" objects="1" scenarios="1" selectLockedCells="1"/>
  <mergeCells count="8">
    <mergeCell ref="B116:AG119"/>
    <mergeCell ref="B96:AG99"/>
    <mergeCell ref="AC5:AG5"/>
    <mergeCell ref="G6:I6"/>
    <mergeCell ref="E9:E10"/>
    <mergeCell ref="E11:E12"/>
    <mergeCell ref="E13:E14"/>
    <mergeCell ref="B54:AG57"/>
  </mergeCells>
  <pageMargins left="0.23622047244094491" right="0.23622047244094491" top="0.74803149606299213" bottom="0.74803149606299213" header="0.31496062992125984" footer="0.31496062992125984"/>
  <pageSetup paperSize="9" scale="83"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37"/>
  <sheetViews>
    <sheetView topLeftCell="F1" zoomScaleNormal="100" workbookViewId="0">
      <selection activeCell="M35" sqref="M35"/>
    </sheetView>
  </sheetViews>
  <sheetFormatPr defaultColWidth="11.42578125" defaultRowHeight="12" x14ac:dyDescent="0.2"/>
  <cols>
    <col min="1" max="1" width="17.85546875" style="173" customWidth="1"/>
    <col min="2" max="2" width="17.42578125" style="173" customWidth="1"/>
    <col min="3" max="3" width="4" style="173" customWidth="1"/>
    <col min="4" max="4" width="11.42578125" style="173" customWidth="1"/>
    <col min="5" max="5" width="13.85546875" style="173" customWidth="1"/>
    <col min="6" max="6" width="3.5703125" style="173" customWidth="1"/>
    <col min="7" max="7" width="13.85546875" style="173" customWidth="1"/>
    <col min="8" max="8" width="13.28515625" style="173" customWidth="1"/>
    <col min="9" max="9" width="12" style="173" bestFit="1" customWidth="1"/>
    <col min="10" max="10" width="5.140625" style="173" customWidth="1"/>
    <col min="11" max="12" width="4.42578125" style="173" customWidth="1"/>
    <col min="13" max="13" width="21.7109375" style="173" bestFit="1" customWidth="1"/>
    <col min="14" max="14" width="1" style="174" customWidth="1"/>
    <col min="15" max="15" width="14.7109375" style="173" customWidth="1"/>
    <col min="16" max="16" width="1" style="174" customWidth="1"/>
    <col min="17" max="17" width="15.42578125" style="173" customWidth="1"/>
    <col min="18" max="18" width="1" style="174" customWidth="1"/>
    <col min="19" max="19" width="13" style="173" customWidth="1"/>
    <col min="20" max="20" width="1" style="174" customWidth="1"/>
    <col min="21" max="21" width="15.42578125" style="173" customWidth="1"/>
    <col min="22" max="22" width="1" style="173" customWidth="1"/>
    <col min="23" max="16384" width="11.42578125" style="173"/>
  </cols>
  <sheetData>
    <row r="1" spans="2:22" x14ac:dyDescent="0.2">
      <c r="V1" s="175"/>
    </row>
    <row r="2" spans="2:22" ht="48" customHeight="1" x14ac:dyDescent="0.2"/>
    <row r="3" spans="2:22" ht="9" customHeight="1" thickBot="1" x14ac:dyDescent="0.25">
      <c r="V3" s="176"/>
    </row>
    <row r="4" spans="2:22" ht="14.25" customHeight="1" thickBot="1" x14ac:dyDescent="0.45">
      <c r="G4" s="173">
        <v>11</v>
      </c>
      <c r="H4" s="177" t="s">
        <v>52</v>
      </c>
      <c r="I4" s="178" t="str">
        <f>VLOOKUP(G4,Formeln!J1:L11,3,FALSE)</f>
        <v>PL</v>
      </c>
      <c r="J4" s="179"/>
    </row>
    <row r="5" spans="2:22" s="180" customFormat="1" ht="12.75" customHeight="1" thickBot="1" x14ac:dyDescent="0.25">
      <c r="G5" s="181"/>
      <c r="H5" s="181"/>
      <c r="I5" s="181"/>
      <c r="J5" s="181"/>
      <c r="N5" s="182"/>
      <c r="P5" s="182"/>
      <c r="R5" s="182"/>
      <c r="T5" s="182"/>
    </row>
    <row r="6" spans="2:22" s="180" customFormat="1" thickBot="1" x14ac:dyDescent="0.25">
      <c r="G6" s="275" t="str">
        <f>HLOOKUP(I4,Sprachen!A2:K15,2,FALSE)</f>
        <v>Grubość ścianki korpusu</v>
      </c>
      <c r="H6" s="276"/>
      <c r="I6" s="183">
        <f>VLOOKUP(Formeln!N1,Formeln!O1:P3,2,FALSE)</f>
        <v>18</v>
      </c>
      <c r="N6" s="182"/>
      <c r="P6" s="182"/>
      <c r="R6" s="182"/>
      <c r="T6" s="182"/>
    </row>
    <row r="7" spans="2:22" s="180" customFormat="1" ht="11.25" x14ac:dyDescent="0.2">
      <c r="G7" s="184" t="str">
        <f>HLOOKUP(I4,Sprachen!A2:K15,3,FALSE)</f>
        <v>Szerokość korpusu</v>
      </c>
      <c r="H7" s="185"/>
      <c r="I7" s="186">
        <f>'VIO1'!E16</f>
        <v>600</v>
      </c>
      <c r="M7" s="187" t="str">
        <f>HLOOKUP(I4,Sprachen!A2:K43,6,FALSE)</f>
        <v>Legenda</v>
      </c>
      <c r="N7" s="182"/>
      <c r="P7" s="182"/>
      <c r="R7" s="182"/>
      <c r="T7" s="182"/>
    </row>
    <row r="8" spans="2:22" s="180" customFormat="1" ht="11.25" x14ac:dyDescent="0.2">
      <c r="G8" s="279" t="str">
        <f>HLOOKUP(I4,Sprachen!A2:K43,9,FALSE)</f>
        <v>Głębokość wewn. korpusu</v>
      </c>
      <c r="H8" s="280"/>
      <c r="I8" s="188">
        <f>'VIO1'!P16</f>
        <v>508</v>
      </c>
      <c r="M8" s="189" t="str">
        <f>HLOOKUP(I4,Sprachen!A2:K43,7,FALSE)</f>
        <v>Szczelina pośrednia</v>
      </c>
      <c r="N8" s="182"/>
      <c r="P8" s="182"/>
      <c r="R8" s="182"/>
      <c r="T8" s="182"/>
    </row>
    <row r="9" spans="2:22" s="180" customFormat="1" thickBot="1" x14ac:dyDescent="0.25">
      <c r="B9" s="180">
        <f>IF(I9="Aluminium Natur",0,IF(I9="Silver grey",1,IF(I9="Graphit",2,IF(I9="Snow white",3,IF(I9="Golden brown",4,0)))))</f>
        <v>2</v>
      </c>
      <c r="G9" s="279" t="str">
        <f>HLOOKUP(I4,Sprachen!A2:K43,10,FALSE)</f>
        <v>Wybór koloru</v>
      </c>
      <c r="H9" s="280"/>
      <c r="I9" s="188" t="str">
        <f>Formeln!S6</f>
        <v>Graphit</v>
      </c>
      <c r="M9" s="190" t="str">
        <f>HLOOKUP(I4,Sprachen!A2:K43,8,FALSE)</f>
        <v>Wysokość frontu</v>
      </c>
      <c r="N9" s="182"/>
      <c r="P9" s="182"/>
      <c r="R9" s="182"/>
      <c r="T9" s="182"/>
    </row>
    <row r="10" spans="2:22" s="180" customFormat="1" thickBot="1" x14ac:dyDescent="0.25">
      <c r="B10" s="180">
        <f>IF(I10="",0,I10-1)</f>
        <v>1</v>
      </c>
      <c r="G10" s="277" t="str">
        <f>HLOOKUP(VIONARO!I4,Sprachen!A2:K43,41,FALSE)</f>
        <v>Ilość frontów</v>
      </c>
      <c r="H10" s="278"/>
      <c r="I10" s="191">
        <f>I11-1</f>
        <v>2</v>
      </c>
      <c r="N10" s="182"/>
      <c r="P10" s="182"/>
      <c r="R10" s="182"/>
      <c r="T10" s="182"/>
    </row>
    <row r="11" spans="2:22" s="180" customFormat="1" ht="11.25" x14ac:dyDescent="0.2">
      <c r="I11" s="180">
        <v>3</v>
      </c>
      <c r="N11" s="182"/>
      <c r="P11" s="182"/>
      <c r="R11" s="182"/>
      <c r="T11" s="182"/>
    </row>
    <row r="12" spans="2:22" s="180" customFormat="1" ht="11.25" x14ac:dyDescent="0.2">
      <c r="E12" s="192"/>
      <c r="F12" s="192"/>
      <c r="M12" s="193" t="str">
        <f>HLOOKUP(I4,Sprachen!A2:K43,11,FALSE)</f>
        <v>Wysokość</v>
      </c>
      <c r="N12" s="194"/>
      <c r="O12" s="193" t="str">
        <f>HLOOKUP(I4,Sprachen!A2:K43,12,FALSE)</f>
        <v>Szuflada</v>
      </c>
      <c r="P12" s="194"/>
      <c r="Q12" s="193" t="str">
        <f>HLOOKUP(I4,Sprachen!A2:K43,13,FALSE)</f>
        <v>Głębokość</v>
      </c>
      <c r="R12" s="194"/>
      <c r="S12" s="193" t="str">
        <f>HLOOKUP(I4,Sprachen!A2:K43,14,FALSE)</f>
        <v>Szuflada wewnętrzna</v>
      </c>
      <c r="T12" s="194"/>
      <c r="U12" s="193" t="str">
        <f>HLOOKUP(I4,Sprachen!A2:K43,15,FALSE)</f>
        <v>Wybór głębokości</v>
      </c>
    </row>
    <row r="13" spans="2:22" s="180" customFormat="1" ht="15" customHeight="1" x14ac:dyDescent="0.2">
      <c r="G13" s="192"/>
      <c r="L13" s="195"/>
      <c r="N13" s="182"/>
      <c r="P13" s="182"/>
      <c r="R13" s="182"/>
      <c r="T13" s="182"/>
    </row>
    <row r="14" spans="2:22" s="180" customFormat="1" ht="11.25" customHeight="1" x14ac:dyDescent="0.2">
      <c r="D14" s="180">
        <f>SUM(D15:D25)</f>
        <v>318</v>
      </c>
      <c r="H14" s="194"/>
      <c r="I14" s="194"/>
      <c r="J14" s="194"/>
      <c r="K14" s="155"/>
      <c r="L14" s="196"/>
      <c r="M14" s="125"/>
      <c r="N14" s="197"/>
      <c r="P14" s="197"/>
      <c r="R14" s="197"/>
      <c r="T14" s="197"/>
    </row>
    <row r="15" spans="2:22" s="180" customFormat="1" ht="11.25" customHeight="1" x14ac:dyDescent="0.2">
      <c r="D15" s="192" t="str">
        <f>IF(O15="","",(VLOOKUP(O15,Formeln!A2:C5,3,FALSE)))</f>
        <v/>
      </c>
      <c r="G15" s="176"/>
      <c r="H15" s="201"/>
      <c r="I15" s="194"/>
      <c r="J15" s="194"/>
      <c r="K15" s="155"/>
      <c r="L15" s="198" t="s">
        <v>10</v>
      </c>
      <c r="M15" s="199"/>
      <c r="N15" s="197" t="str">
        <f>IF(O15="","",(IF(((VLOOKUP(O15,Formeln!$A$2:$D$5,4,FALSE))&gt;M15),"!!!","")))</f>
        <v/>
      </c>
      <c r="O15" s="200"/>
      <c r="P15" s="197" t="str">
        <f>IF(Q15="","",(IF(((VLOOKUP(Q15,Formeln!$A$2:$D$5,4,FALSE))&gt;O15),"!!!","")))</f>
        <v/>
      </c>
      <c r="Q15" s="200"/>
      <c r="R15" s="197" t="str">
        <f>IF(S15="","",(IF(((VLOOKUP(S15,Formeln!$A$2:$D$5,4,FALSE))&gt;Q15),"!!!","")))</f>
        <v/>
      </c>
      <c r="T15" s="197" t="str">
        <f>IF(U15="","",(IF(((VLOOKUP(U15,Formeln!$A$2:$D$5,4,FALSE))&gt;S15),"!!!","")))</f>
        <v/>
      </c>
      <c r="U15" s="200"/>
    </row>
    <row r="16" spans="2:22" s="180" customFormat="1" ht="11.25" customHeight="1" x14ac:dyDescent="0.2">
      <c r="H16" s="201"/>
      <c r="I16" s="194"/>
      <c r="J16" s="194"/>
      <c r="K16" s="155"/>
      <c r="L16" s="196"/>
      <c r="M16" s="199"/>
      <c r="N16" s="197"/>
      <c r="O16" s="200"/>
      <c r="P16" s="197"/>
      <c r="Q16" s="200"/>
      <c r="R16" s="197"/>
      <c r="T16" s="197"/>
      <c r="U16" s="200"/>
    </row>
    <row r="17" spans="1:21" s="180" customFormat="1" ht="11.25" customHeight="1" x14ac:dyDescent="0.2">
      <c r="D17" s="192" t="str">
        <f>IF(O17="","",(VLOOKUP(O17,Formeln!A2:C5,3,FALSE)))</f>
        <v/>
      </c>
      <c r="G17" s="176"/>
      <c r="H17" s="201"/>
      <c r="I17" s="194"/>
      <c r="J17" s="194"/>
      <c r="K17" s="155"/>
      <c r="L17" s="198" t="s">
        <v>9</v>
      </c>
      <c r="M17" s="199"/>
      <c r="N17" s="197" t="str">
        <f>IF(O17="","",(IF(((VLOOKUP(O17,Formeln!$A$2:$D$5,4,FALSE))&gt;M17),"!!!","")))</f>
        <v/>
      </c>
      <c r="O17" s="200"/>
      <c r="P17" s="197" t="str">
        <f>IF(Q17="","",(IF(((VLOOKUP(Q17,Formeln!$A$2:$D$5,4,FALSE))&gt;O17),"!!!","")))</f>
        <v/>
      </c>
      <c r="Q17" s="200"/>
      <c r="R17" s="197" t="str">
        <f>IF(S17="","",(IF(((VLOOKUP(S17,Formeln!$A$2:$D$5,4,FALSE))&gt;Q17),"!!!","")))</f>
        <v/>
      </c>
      <c r="T17" s="197" t="str">
        <f>IF(U17="","",(IF(((VLOOKUP(U17,Formeln!$A$2:$D$5,4,FALSE))&gt;S17),"!!!","")))</f>
        <v/>
      </c>
      <c r="U17" s="200"/>
    </row>
    <row r="18" spans="1:21" s="180" customFormat="1" ht="11.25" x14ac:dyDescent="0.2">
      <c r="H18" s="201"/>
      <c r="I18" s="194"/>
      <c r="J18" s="194"/>
      <c r="K18" s="155"/>
      <c r="L18" s="196"/>
      <c r="M18" s="93">
        <f>'VIO2'!AC14</f>
        <v>2</v>
      </c>
      <c r="N18" s="197"/>
      <c r="O18" s="200"/>
      <c r="P18" s="197"/>
      <c r="Q18" s="200"/>
      <c r="R18" s="197"/>
      <c r="T18" s="197"/>
      <c r="U18" s="200"/>
    </row>
    <row r="19" spans="1:21" s="180" customFormat="1" ht="11.25" customHeight="1" x14ac:dyDescent="0.2">
      <c r="A19" s="176"/>
      <c r="C19" s="202"/>
      <c r="D19" s="192" t="str">
        <f>IF(O19="","",(VLOOKUP(O19,Formeln!A2:C6,3,FALSE)))</f>
        <v/>
      </c>
      <c r="G19" s="176"/>
      <c r="H19" s="201"/>
      <c r="I19" s="194"/>
      <c r="J19" s="194"/>
      <c r="K19" s="282">
        <f>SUM(M18:M26)</f>
        <v>705</v>
      </c>
      <c r="L19" s="193" t="s">
        <v>18</v>
      </c>
      <c r="M19" s="203">
        <f>'VIO2'!AC27</f>
        <v>0</v>
      </c>
      <c r="N19" s="197"/>
      <c r="O19" s="204" t="str">
        <f>IF(Formeln!X1=1,"",VLOOKUP(Formeln!X1,Formeln!Y1:Z5,2,FALSE))</f>
        <v/>
      </c>
      <c r="P19" s="197"/>
      <c r="Q19" s="204" t="str">
        <f>IF(Formeln!AA1=1,"",VLOOKUP(Formeln!AA1,Formeln!AB1:AC9,2,FALSE))</f>
        <v/>
      </c>
      <c r="R19" s="197"/>
      <c r="S19" s="205" t="str">
        <f>IF(Formeln!AJ1=1,"",VLOOKUP(Formeln!AJ1,Formeln!AK1:AL3,2,FALSE))</f>
        <v/>
      </c>
      <c r="T19" s="197"/>
      <c r="U19" s="204" t="str">
        <f>IF(Formeln!AA2=1,"",VLOOKUP(Formeln!AA2,Formeln!AB1:AC9,2,FALSE))</f>
        <v/>
      </c>
    </row>
    <row r="20" spans="1:21" s="180" customFormat="1" ht="11.25" customHeight="1" x14ac:dyDescent="0.2">
      <c r="C20" s="125"/>
      <c r="H20" s="201"/>
      <c r="I20" s="194"/>
      <c r="J20" s="194"/>
      <c r="K20" s="282"/>
      <c r="L20" s="206"/>
      <c r="M20" s="93">
        <f>IF(I10&gt;3,'VIO2'!R18,0)</f>
        <v>0</v>
      </c>
      <c r="N20" s="197"/>
      <c r="O20" s="206"/>
      <c r="P20" s="197"/>
      <c r="Q20" s="200"/>
      <c r="R20" s="197"/>
      <c r="S20" s="125"/>
      <c r="T20" s="197"/>
      <c r="U20" s="200"/>
    </row>
    <row r="21" spans="1:21" s="180" customFormat="1" ht="11.25" x14ac:dyDescent="0.2">
      <c r="D21" s="192" t="str">
        <f>IF(O21="","",(VLOOKUP(O21,Formeln!A2:C6,3,FALSE)))</f>
        <v/>
      </c>
      <c r="G21" s="176"/>
      <c r="H21" s="201"/>
      <c r="I21" s="194"/>
      <c r="J21" s="194"/>
      <c r="K21" s="282"/>
      <c r="L21" s="193" t="s">
        <v>17</v>
      </c>
      <c r="M21" s="203">
        <f>'VIO2'!AC32</f>
        <v>0</v>
      </c>
      <c r="N21" s="197" t="str">
        <f>IF(O21="","",(IF(((VLOOKUP(O21,Formeln!$A$2:$D$6,4,FALSE))&gt;M21),"!!!","")))</f>
        <v/>
      </c>
      <c r="O21" s="204" t="str">
        <f>IF(Formeln!X4=1,"",VLOOKUP(Formeln!X4,Formeln!Y1:Z5,2,FALSE))</f>
        <v/>
      </c>
      <c r="P21" s="197"/>
      <c r="Q21" s="204" t="str">
        <f>IF(Formeln!AA7=1,"",VLOOKUP(Formeln!AA7,Formeln!AB1:AC9,2,FALSE))</f>
        <v/>
      </c>
      <c r="R21" s="197"/>
      <c r="S21" s="205" t="str">
        <f>IF(Formeln!AJ4=1,"",VLOOKUP(Formeln!AJ4,Formeln!AK1:AL3,2,FALSE))</f>
        <v/>
      </c>
      <c r="T21" s="197"/>
      <c r="U21" s="204" t="str">
        <f>IF(Formeln!AA8=1,"",VLOOKUP(Formeln!AA8,Formeln!AB1:AC9,2,FALSE))</f>
        <v/>
      </c>
    </row>
    <row r="22" spans="1:21" s="180" customFormat="1" ht="11.25" x14ac:dyDescent="0.2">
      <c r="D22" s="125"/>
      <c r="H22" s="201"/>
      <c r="I22" s="194"/>
      <c r="J22" s="194"/>
      <c r="K22" s="282"/>
      <c r="L22" s="206"/>
      <c r="M22" s="93">
        <f>IF(I10&gt;2,'VIO2'!R18,0)</f>
        <v>0</v>
      </c>
      <c r="N22" s="197"/>
      <c r="O22" s="206"/>
      <c r="P22" s="197"/>
      <c r="Q22" s="200"/>
      <c r="R22" s="197"/>
      <c r="S22" s="125"/>
      <c r="T22" s="197"/>
      <c r="U22" s="200"/>
    </row>
    <row r="23" spans="1:21" s="180" customFormat="1" ht="11.25" x14ac:dyDescent="0.2">
      <c r="D23" s="192">
        <f>IF(O23="","",(VLOOKUP(O23,Formeln!A2:C6,3,FALSE)))</f>
        <v>111</v>
      </c>
      <c r="G23" s="176"/>
      <c r="H23" s="201"/>
      <c r="I23" s="194"/>
      <c r="J23" s="194"/>
      <c r="K23" s="282"/>
      <c r="L23" s="193" t="s">
        <v>16</v>
      </c>
      <c r="M23" s="203">
        <f>'VIO2'!AC37</f>
        <v>140</v>
      </c>
      <c r="N23" s="197" t="str">
        <f>IF(O23="","",(IF(((VLOOKUP(O23,Formeln!$A$2:$D$6,4,FALSE))&gt;M23),"!!!","")))</f>
        <v/>
      </c>
      <c r="O23" s="204" t="str">
        <f>IF(Formeln!X3=1,"",VLOOKUP(Formeln!X3,Formeln!Y1:Z5,2,FALSE))</f>
        <v>VIONARO H89</v>
      </c>
      <c r="P23" s="197"/>
      <c r="Q23" s="204">
        <f>IF(Formeln!AA5=1,"",VLOOKUP(Formeln!AA5,Formeln!AB1:AC9,2,FALSE))</f>
        <v>500</v>
      </c>
      <c r="R23" s="197"/>
      <c r="S23" s="205" t="str">
        <f>IF(Formeln!AJ3=1,"",VLOOKUP(Formeln!AJ3,Formeln!AK1:AL3,2,FALSE))</f>
        <v/>
      </c>
      <c r="T23" s="197"/>
      <c r="U23" s="204" t="str">
        <f>IF(Formeln!AA6=1,"",VLOOKUP(Formeln!AA6,Formeln!AB1:AC9,2,FALSE))</f>
        <v/>
      </c>
    </row>
    <row r="24" spans="1:21" s="180" customFormat="1" ht="11.25" x14ac:dyDescent="0.2">
      <c r="B24" s="192"/>
      <c r="H24" s="201"/>
      <c r="I24" s="194"/>
      <c r="J24" s="194"/>
      <c r="K24" s="282"/>
      <c r="L24" s="206"/>
      <c r="M24" s="207">
        <f>IF(I10&gt;1,'VIO2'!R18,0)</f>
        <v>1</v>
      </c>
      <c r="N24" s="197"/>
      <c r="O24" s="206"/>
      <c r="P24" s="197"/>
      <c r="Q24" s="200"/>
      <c r="R24" s="197"/>
      <c r="S24" s="125"/>
      <c r="T24" s="197"/>
      <c r="U24" s="200"/>
    </row>
    <row r="25" spans="1:21" s="180" customFormat="1" ht="11.25" x14ac:dyDescent="0.2">
      <c r="D25" s="192">
        <f>IF(O25="","",(VLOOKUP(O25,Formeln!A2:C6,3,FALSE)))</f>
        <v>207</v>
      </c>
      <c r="G25" s="176"/>
      <c r="H25" s="201"/>
      <c r="I25" s="194"/>
      <c r="J25" s="194"/>
      <c r="K25" s="282"/>
      <c r="L25" s="193" t="s">
        <v>15</v>
      </c>
      <c r="M25" s="203">
        <f>'VIO2'!AC42</f>
        <v>560</v>
      </c>
      <c r="N25" s="197"/>
      <c r="O25" s="204" t="str">
        <f>IF(Formeln!X2=1,"",VLOOKUP(Formeln!X2,Formeln!Y1:Z5,2,FALSE))</f>
        <v>VIONARO H185</v>
      </c>
      <c r="P25" s="197"/>
      <c r="Q25" s="204">
        <f>IF(Formeln!AA3=1,"",VLOOKUP(Formeln!AA3,Formeln!AB1:AC9,2,FALSE))</f>
        <v>500</v>
      </c>
      <c r="R25" s="197"/>
      <c r="S25" s="204" t="str">
        <f>IF(Formeln!AJ2=1,"",VLOOKUP(Formeln!AJ2,Formeln!AK1:AL3,2,FALSE))</f>
        <v>VIONARO H185</v>
      </c>
      <c r="T25" s="197"/>
      <c r="U25" s="204">
        <f>IF(Formeln!AA4=1,"",VLOOKUP(Formeln!AA4,Formeln!AB1:AC9,2,FALSE))</f>
        <v>450</v>
      </c>
    </row>
    <row r="26" spans="1:21" s="180" customFormat="1" ht="11.25" x14ac:dyDescent="0.2">
      <c r="K26" s="155"/>
      <c r="L26" s="196"/>
      <c r="M26" s="207">
        <f>'VIO2'!E14</f>
        <v>2</v>
      </c>
      <c r="N26" s="182"/>
      <c r="P26" s="182"/>
      <c r="R26" s="182"/>
      <c r="T26" s="182"/>
    </row>
    <row r="27" spans="1:21" s="180" customFormat="1" ht="11.25" x14ac:dyDescent="0.2">
      <c r="G27" s="281" t="str">
        <f>HLOOKUP(I4,Sprachen!A2:K43,42,FALSE)</f>
        <v>Wszystkie wymiary w mm</v>
      </c>
      <c r="H27" s="281"/>
      <c r="I27" s="192"/>
      <c r="J27" s="192"/>
      <c r="K27" s="192"/>
      <c r="L27" s="192"/>
      <c r="N27" s="182"/>
      <c r="O27" s="208"/>
      <c r="P27" s="208"/>
      <c r="Q27" s="273"/>
      <c r="R27" s="273"/>
      <c r="S27" s="274" t="str">
        <f>HLOOKUP(I4,Sprachen!A2:K43,20,FALSE)</f>
        <v>&gt;&gt;&gt; Wybór prowadnicy &gt;&gt;&gt;</v>
      </c>
      <c r="T27" s="274"/>
      <c r="U27" s="274"/>
    </row>
    <row r="28" spans="1:21" s="180" customFormat="1" ht="11.25" x14ac:dyDescent="0.2">
      <c r="H28" s="192"/>
      <c r="I28" s="192"/>
      <c r="J28" s="192"/>
      <c r="K28" s="192"/>
      <c r="L28" s="192"/>
      <c r="N28" s="182"/>
      <c r="O28" s="208"/>
      <c r="P28" s="208"/>
      <c r="Q28" s="273"/>
      <c r="R28" s="273"/>
      <c r="S28" s="274"/>
      <c r="T28" s="274"/>
      <c r="U28" s="274"/>
    </row>
    <row r="29" spans="1:21" x14ac:dyDescent="0.2">
      <c r="G29" s="192" t="str">
        <f>HLOOKUP(I4,Sprachen!A2:K43,5,FALSE)</f>
        <v xml:space="preserve">Pozycja linii mocowania prowadnicy </v>
      </c>
    </row>
    <row r="30" spans="1:21" x14ac:dyDescent="0.2">
      <c r="G30" s="173" t="str">
        <f>HLOOKUP(I4,Sprachen!A2:K43,4,FALSE)</f>
        <v>Prześwit pionowy</v>
      </c>
      <c r="H30" s="173">
        <f>IF(M25="","",(SUM(M13:M26))-(I6*2))</f>
        <v>669</v>
      </c>
      <c r="I30" s="173" t="str">
        <f>IF(M45="","",(SUM(M34:M46))-(I28*2))</f>
        <v/>
      </c>
    </row>
    <row r="31" spans="1:21" x14ac:dyDescent="0.2">
      <c r="H31" s="173" t="str">
        <f>CONCATENATE((IF((OR((O25=""),(D12&gt;H30))),"","37")),IF(S25="","",(CONCATENATE(" ( ",(VLOOKUP(O25,Formeln!A2:F6,6,FALSE))," )"))))</f>
        <v>37 ( 250 )</v>
      </c>
      <c r="I31" s="173" t="str">
        <f>CONCATENATE((IF((OR((O25=""),(D12&gt;H30))),"","37")))</f>
        <v>37</v>
      </c>
      <c r="J31" s="173" t="str">
        <f>IF(S25="","",(CONCATENATE("",(VLOOKUP(O25,Formeln!A2:F6,6,FALSE)),"")))</f>
        <v>250</v>
      </c>
    </row>
    <row r="32" spans="1:21" x14ac:dyDescent="0.2">
      <c r="H32" s="173" t="str">
        <f>CONCATENATE((IF((OR((O23=""),(D12&gt;H30))),"",(M26+M25+M24+42-I6))),(IF(S23="","",CONCATENATE(" ( ",(M26+M25+M24+42-I6+(VLOOKUP(O23,Formeln!A2:F6,4,FALSE)))," )"))))</f>
        <v>587</v>
      </c>
      <c r="I32" s="173" t="str">
        <f>CONCATENATE((IF((OR((O23=""),(D12&gt;H30))),"",(M26+M25+M24+42-I6))))</f>
        <v>587</v>
      </c>
      <c r="J32" s="173" t="str">
        <f>IF(S23="","",CONCATENATE("",(M26+M25+M24+42-I6+(VLOOKUP(O23,Formeln!A2:F6,4,FALSE))),""))</f>
        <v/>
      </c>
    </row>
    <row r="33" spans="8:10" x14ac:dyDescent="0.2">
      <c r="H33" s="173" t="str">
        <f>CONCATENATE((IF((OR((O21=""),(D12&gt;H30))),"",(M26+M25+M24+M23+M22+42-I6))),(IF(S21="","",CONCATENATE(" ( ",(M26+M25+M24+M23+M22+42-I6+(VLOOKUP(O21,Formeln!A2:F6,4,FALSE)))," )"))))</f>
        <v/>
      </c>
      <c r="I33" s="173" t="str">
        <f>CONCATENATE((IF((OR((O21=""),(D12&gt;H30))),"",(M26+M25+M24+M23+M22+42-I6))))</f>
        <v/>
      </c>
      <c r="J33" s="173" t="str">
        <f>(IF(S21="","",CONCATENATE("",(M26+M25+M24+M23+M22+42-I6+(VLOOKUP(O21,Formeln!A2:F6,4,FALSE))),"")))</f>
        <v/>
      </c>
    </row>
    <row r="34" spans="8:10" x14ac:dyDescent="0.2">
      <c r="H34" s="173" t="str">
        <f>CONCATENATE((IF((OR((O19=""),(D12&gt;H30))),"",(M26+M25+M24+M23+M22+M21+M20+42-I6))),(IF(S19="","",CONCATENATE(" ( ",(M26+M25+M24+M23+M22+M21+M20+42-I6+(VLOOKUP(O19,Formeln!A2:F6,4,FALSE)))," )"))))</f>
        <v/>
      </c>
      <c r="I34" s="173" t="str">
        <f>CONCATENATE((IF((OR((O19=""),(D12&gt;H30))),"",(M26+M25+M24+M23+M22+M21+M20+42-I6))))</f>
        <v/>
      </c>
      <c r="J34" s="173" t="str">
        <f>IF(S19="","",CONCATENATE("",(M26+M25+M24+M23+M22+M21+M20+42-I6+(VLOOKUP(O19,Formeln!A2:F6,4,FALSE))),""))</f>
        <v/>
      </c>
    </row>
    <row r="37" spans="8:10" x14ac:dyDescent="0.2">
      <c r="H37" s="173" t="str">
        <f>HLOOKUP(VIONARO!I4,Sprachen!A2:K53,52,FALSE)</f>
        <v xml:space="preserve">Dane otworów montażowych </v>
      </c>
    </row>
  </sheetData>
  <sheetProtection selectLockedCells="1"/>
  <dataConsolidate/>
  <mergeCells count="9">
    <mergeCell ref="Q27:R27"/>
    <mergeCell ref="Q28:R28"/>
    <mergeCell ref="S27:U28"/>
    <mergeCell ref="G6:H6"/>
    <mergeCell ref="G10:H10"/>
    <mergeCell ref="G8:H8"/>
    <mergeCell ref="G9:H9"/>
    <mergeCell ref="G27:H27"/>
    <mergeCell ref="K19:K25"/>
  </mergeCells>
  <conditionalFormatting sqref="M23 O23 Q23 S23 U23">
    <cfRule type="expression" dxfId="18" priority="20">
      <formula>IF($I$10&gt;1,1,0)</formula>
    </cfRule>
  </conditionalFormatting>
  <conditionalFormatting sqref="M22">
    <cfRule type="expression" dxfId="17" priority="19">
      <formula>IF($I$10&gt;1,1,0)</formula>
    </cfRule>
  </conditionalFormatting>
  <conditionalFormatting sqref="M21 O21 Q21 S21 U21">
    <cfRule type="expression" dxfId="16" priority="18">
      <formula>IF($I$10&gt;2,1,0)</formula>
    </cfRule>
  </conditionalFormatting>
  <conditionalFormatting sqref="M20">
    <cfRule type="expression" dxfId="15" priority="17">
      <formula>IF($I$10&gt;2,1,0)</formula>
    </cfRule>
  </conditionalFormatting>
  <conditionalFormatting sqref="M19 O19 Q19 S19 U19">
    <cfRule type="expression" dxfId="14" priority="16">
      <formula>IF($I$10&gt;3,1,0)</formula>
    </cfRule>
  </conditionalFormatting>
  <conditionalFormatting sqref="M18">
    <cfRule type="expression" dxfId="13" priority="15">
      <formula>IF($I$10&gt;3,1,0)</formula>
    </cfRule>
  </conditionalFormatting>
  <conditionalFormatting sqref="L23">
    <cfRule type="expression" dxfId="12" priority="14">
      <formula>IF($I$10&gt;1,1,0)</formula>
    </cfRule>
  </conditionalFormatting>
  <conditionalFormatting sqref="L21">
    <cfRule type="expression" dxfId="11" priority="13">
      <formula>IF($I$10&gt;2,1,0)</formula>
    </cfRule>
  </conditionalFormatting>
  <conditionalFormatting sqref="L19">
    <cfRule type="expression" dxfId="10" priority="12">
      <formula>IF($I$10&gt;3,1,0)</formula>
    </cfRule>
  </conditionalFormatting>
  <conditionalFormatting sqref="M25 O25 Q25 S25 U25">
    <cfRule type="expression" dxfId="9" priority="10">
      <formula>IF($I$10="",1,0)</formula>
    </cfRule>
  </conditionalFormatting>
  <conditionalFormatting sqref="L25">
    <cfRule type="expression" dxfId="8" priority="9">
      <formula>IF($I$10="",1,0)</formula>
    </cfRule>
  </conditionalFormatting>
  <conditionalFormatting sqref="M26 M24">
    <cfRule type="expression" dxfId="7" priority="8">
      <formula>IF($I$10="",1,0)</formula>
    </cfRule>
  </conditionalFormatting>
  <conditionalFormatting sqref="M12 O12 Q12 S12 U12">
    <cfRule type="expression" dxfId="6" priority="7">
      <formula>IF($I$10&gt;0,1,0)</formula>
    </cfRule>
  </conditionalFormatting>
  <conditionalFormatting sqref="M7:M9">
    <cfRule type="expression" dxfId="5" priority="6">
      <formula>IF($I$10&lt;0,1,0)</formula>
    </cfRule>
  </conditionalFormatting>
  <dataValidations count="24">
    <dataValidation type="whole" allowBlank="1" showInputMessage="1" showErrorMessage="1" sqref="M14 M16">
      <formula1>0</formula1>
      <formula2>5</formula2>
    </dataValidation>
    <dataValidation type="list" allowBlank="1" showInputMessage="1" showErrorMessage="1" sqref="Q15 O15 O17 Q17 U15 U17">
      <formula1>$A$2:$A$6</formula1>
    </dataValidation>
    <dataValidation type="whole" allowBlank="1" showInputMessage="1" showErrorMessage="1" sqref="M15 M17">
      <formula1>96</formula1>
      <formula2>780</formula2>
    </dataValidation>
    <dataValidation type="whole" allowBlank="1" showInputMessage="1" showErrorMessage="1" errorTitle="Nicht möglich! / Invalid value!" error="96 - 780 mm" sqref="M19 M21 M23 M25">
      <formula1>96</formula1>
      <formula2>780</formula2>
    </dataValidation>
    <dataValidation type="whole" allowBlank="1" showErrorMessage="1" errorTitle="Nicht möglich! / Invalid value!" error="0 - 5 mm" sqref="M26 M24 M22 M20 M18">
      <formula1>0</formula1>
      <formula2>5</formula2>
    </dataValidation>
    <dataValidation type="whole" allowBlank="1" showInputMessage="1" showErrorMessage="1" errorTitle="Nicht möglich! / Invalid value!" error="273 - 1500 mm_x000a_" sqref="I8">
      <formula1>273</formula1>
      <formula2>1500</formula2>
    </dataValidation>
    <dataValidation type="whole" allowBlank="1" showInputMessage="1" showErrorMessage="1" errorTitle="Nicht möglich! / Invalid value!" error="186-1500 mm" sqref="I7">
      <formula1>186</formula1>
      <formula2>1500</formula2>
    </dataValidation>
    <dataValidation allowBlank="1" showInputMessage="1" showErrorMessage="1" errorTitle="Nicht möglich! / Invalid value!" error="Aus Dropdown-Feld wählen / Take drop-down box" sqref="I6"/>
    <dataValidation allowBlank="1" showInputMessage="1" showErrorMessage="1" errorTitle="Nicht möglich! / Invalid value!" error="Aus Dropdown-Feld wählen / Take drop-down box" sqref="I9"/>
    <dataValidation allowBlank="1" showInputMessage="1" showErrorMessage="1" errorTitle="Nicht möglich! /  Invalid value!" error="Aus Dropdown-Feld wählen / Take drop-down box" sqref="Q23"/>
    <dataValidation allowBlank="1" showInputMessage="1" showErrorMessage="1" errorTitle="Nicht möglich! /  Invalid value!" error="Aus Dropdown-Feld wählen / Take drop-down box" sqref="U23"/>
    <dataValidation allowBlank="1" showInputMessage="1" showErrorMessage="1" errorTitle="Nicht möglich! / Invalid value!" error="Aus Dropdown-Feld wählen / Take drop-down box" sqref="Q21"/>
    <dataValidation allowBlank="1" showInputMessage="1" showErrorMessage="1" errorTitle="Nicht möglich! / Invalid value!" error="Aus Dropdown-Feld wählen / Take drop-down box" sqref="U21"/>
    <dataValidation allowBlank="1" showInputMessage="1" showErrorMessage="1" errorTitle="Nicht möglich! / Invalid value!" error="Aus Dropdown-Feld wählen / Take drop-down box" sqref="U19"/>
    <dataValidation allowBlank="1" showInputMessage="1" showErrorMessage="1" errorTitle="Nicht möglich! / Invalid value!" error="Aus Dropdown-Feld wählen / Take drop-down box" sqref="O25"/>
    <dataValidation allowBlank="1" showInputMessage="1" showErrorMessage="1" errorTitle="Nicht möglich! / Invalid value!" error="Aus Dropdown-Feld wählen / Take drop-down box" sqref="S25"/>
    <dataValidation allowBlank="1" showInputMessage="1" showErrorMessage="1" errorTitle="Nicht möglich! /  Invalid value!" error="Aus Dropdown-Feld wählen / Take drop-down box" sqref="O23"/>
    <dataValidation allowBlank="1" showInputMessage="1" showErrorMessage="1" errorTitle="Nicht möglich! / Invalid value!" error="Aus Dropdown-Feld wählen / Take drop-down box" sqref="S23"/>
    <dataValidation allowBlank="1" showInputMessage="1" showErrorMessage="1" errorTitle="Nicht möglich! / Invalid value!" error="Aus Dropdown-Feld wählen / Take drop-down box" sqref="O21"/>
    <dataValidation allowBlank="1" showInputMessage="1" showErrorMessage="1" errorTitle="Nicht möglich! / Invalid value!" error="Aus Dropdown-Feld wählen / Take drop-down box" sqref="S21"/>
    <dataValidation allowBlank="1" showInputMessage="1" showErrorMessage="1" errorTitle="Nicht möglich! / Invalid value!" error="Aus Dropdown-Feld wählen / Take drop-down box" sqref="O19"/>
    <dataValidation allowBlank="1" showInputMessage="1" showErrorMessage="1" errorTitle="Nicht möglich! / Invalid value!" error="Aus Dropdown-Feld wählen / Take drop-down box" sqref="S19"/>
    <dataValidation allowBlank="1" showInputMessage="1" showErrorMessage="1" errorTitle="Nicht möglich! / Invalid value!" error="Aus Dropdown-Feld wählen / Take drop-down box" sqref="Q25"/>
    <dataValidation allowBlank="1" showInputMessage="1" showErrorMessage="1" errorTitle="Nicht möglich! / Invalid value!" error="Aus Dropdown-Feld wählen / Take drop-down box" sqref="U25"/>
  </dataValidations>
  <pageMargins left="0.7" right="0.7" top="0.78740157499999996" bottom="0.78740157499999996" header="0.3" footer="0.3"/>
  <pageSetup paperSize="9" orientation="portrait" r:id="rId1"/>
  <ignoredErrors>
    <ignoredError sqref="I6:I7 I9"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Nicht möglich! / Invalid value!" error="Aus Dropdown-Feld wählen / Take drop-down box">
          <x14:formula1>
            <xm:f>Formeln!$H$43:$P$43</xm:f>
          </x14:formula1>
          <xm:sqref>Q19</xm:sqref>
        </x14:dataValidation>
        <x14:dataValidation type="list" allowBlank="1" showInputMessage="1" showErrorMessage="1">
          <x14:formula1>
            <xm:f>Formeln!$H$7:$H$10</xm:f>
          </x14:formula1>
          <xm:sqref>I10</xm:sqref>
        </x14:dataValidation>
        <x14:dataValidation type="list" allowBlank="1" showInputMessage="1" showErrorMessage="1" errorTitle="Ungültiger Wert / invalid value" error="Sprache auswählen_x000a_Choose language">
          <x14:formula1>
            <xm:f>Sprachen!$A$2:$K$2</xm:f>
          </x14:formula1>
          <xm:sqref>I4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19</vt:i4>
      </vt:variant>
      <vt:variant>
        <vt:lpstr>Zakresy nazwane</vt:lpstr>
      </vt:variant>
      <vt:variant>
        <vt:i4>12</vt:i4>
      </vt:variant>
    </vt:vector>
  </HeadingPairs>
  <TitlesOfParts>
    <vt:vector size="31" baseType="lpstr">
      <vt:lpstr>Version</vt:lpstr>
      <vt:lpstr>START</vt:lpstr>
      <vt:lpstr>VIO1</vt:lpstr>
      <vt:lpstr>VIO2</vt:lpstr>
      <vt:lpstr>VIO3</vt:lpstr>
      <vt:lpstr>VIO4</vt:lpstr>
      <vt:lpstr>VIO5</vt:lpstr>
      <vt:lpstr>VIO6</vt:lpstr>
      <vt:lpstr>VIONARO</vt:lpstr>
      <vt:lpstr>Auswahl Führung</vt:lpstr>
      <vt:lpstr>Formeln</vt:lpstr>
      <vt:lpstr>Sprachen</vt:lpstr>
      <vt:lpstr>Bildern</vt:lpstr>
      <vt:lpstr>Artikeldaten</vt:lpstr>
      <vt:lpstr>Tabelle1</vt:lpstr>
      <vt:lpstr>SPRACHE TITEL</vt:lpstr>
      <vt:lpstr>NP SCL</vt:lpstr>
      <vt:lpstr>Tabelle4</vt:lpstr>
      <vt:lpstr>Tabelle5</vt:lpstr>
      <vt:lpstr>activ2</vt:lpstr>
      <vt:lpstr>activité</vt:lpstr>
      <vt:lpstr>bild</vt:lpstr>
      <vt:lpstr>FRONTD</vt:lpstr>
      <vt:lpstr>GRAFIK5</vt:lpstr>
      <vt:lpstr>'VIO4'!Obszar_wydruku</vt:lpstr>
      <vt:lpstr>'VIO5'!Obszar_wydruku</vt:lpstr>
      <vt:lpstr>'VIO6'!Obszar_wydruku</vt:lpstr>
      <vt:lpstr>Sprache</vt:lpstr>
      <vt:lpstr>Stückliste</vt:lpstr>
      <vt:lpstr>'VIO6'!Tytuły_wydruku</vt:lpstr>
      <vt:lpstr>Übersetzung</vt:lpstr>
    </vt:vector>
  </TitlesOfParts>
  <Company>Grass GmbH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Barth Guillaume;Jeni Sarah</dc:creator>
  <cp:lastModifiedBy>tszymanski</cp:lastModifiedBy>
  <cp:lastPrinted>2016-05-23T16:58:56Z</cp:lastPrinted>
  <dcterms:created xsi:type="dcterms:W3CDTF">2015-02-24T13:21:41Z</dcterms:created>
  <dcterms:modified xsi:type="dcterms:W3CDTF">2016-09-16T12:11:01Z</dcterms:modified>
</cp:coreProperties>
</file>