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DieseArbeitsmappe" defaultThemeVersion="124226"/>
  <workbookProtection workbookPassword="90CC" lockStructure="1"/>
  <bookViews>
    <workbookView xWindow="120" yWindow="420" windowWidth="15600" windowHeight="11760"/>
  </bookViews>
  <sheets>
    <sheet name="KINVARO" sheetId="4" r:id="rId1"/>
    <sheet name="Daten" sheetId="1" state="hidden" r:id="rId2"/>
    <sheet name="Sprache" sheetId="2" state="hidden" r:id="rId3"/>
    <sheet name="Material+Limits" sheetId="3" state="hidden" r:id="rId4"/>
    <sheet name="S1" sheetId="5" r:id="rId5"/>
    <sheet name="S2" sheetId="6" r:id="rId6"/>
  </sheets>
  <definedNames>
    <definedName name="_xlnm._FilterDatabase" localSheetId="1" hidden="1">Daten!$O$1:$AL$393</definedName>
    <definedName name="_xlnm.Print_Area" localSheetId="0">KINVARO!$B$2:$BQ$40</definedName>
    <definedName name="_xlnm.Print_Area" localSheetId="4">'S1'!$B$2:$N$43</definedName>
    <definedName name="_xlnm.Print_Area" localSheetId="5">'S2'!$B$2:$N$27</definedName>
    <definedName name="test">KINVARO!#REF!</definedName>
  </definedNames>
  <calcPr calcId="145621"/>
</workbook>
</file>

<file path=xl/calcChain.xml><?xml version="1.0" encoding="utf-8"?>
<calcChain xmlns="http://schemas.openxmlformats.org/spreadsheetml/2006/main">
  <c r="A74" i="2" l="1"/>
  <c r="A202" i="2" l="1"/>
  <c r="A220" i="2" l="1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1" i="2"/>
  <c r="AM31" i="1" s="1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N30" i="1" l="1"/>
  <c r="AN66" i="1"/>
  <c r="AN81" i="1"/>
  <c r="AN69" i="1"/>
  <c r="AN61" i="1"/>
  <c r="AN53" i="1"/>
  <c r="AN45" i="1"/>
  <c r="AN37" i="1"/>
  <c r="AN88" i="1"/>
  <c r="AN84" i="1"/>
  <c r="AN80" i="1"/>
  <c r="AN76" i="1"/>
  <c r="AN72" i="1"/>
  <c r="AN68" i="1"/>
  <c r="AN64" i="1"/>
  <c r="AN60" i="1"/>
  <c r="AN56" i="1"/>
  <c r="AN52" i="1"/>
  <c r="AN48" i="1"/>
  <c r="AN44" i="1"/>
  <c r="AN40" i="1"/>
  <c r="AN36" i="1"/>
  <c r="AN32" i="1"/>
  <c r="AN91" i="1"/>
  <c r="AN87" i="1"/>
  <c r="AN83" i="1"/>
  <c r="AN79" i="1"/>
  <c r="AN75" i="1"/>
  <c r="AN71" i="1"/>
  <c r="AN67" i="1"/>
  <c r="AN63" i="1"/>
  <c r="AN59" i="1"/>
  <c r="AN55" i="1"/>
  <c r="AN51" i="1"/>
  <c r="AN47" i="1"/>
  <c r="AN43" i="1"/>
  <c r="AN39" i="1"/>
  <c r="AN35" i="1"/>
  <c r="AN31" i="1"/>
  <c r="AN90" i="1"/>
  <c r="AN86" i="1"/>
  <c r="AN82" i="1"/>
  <c r="AN78" i="1"/>
  <c r="AN74" i="1"/>
  <c r="AN70" i="1"/>
  <c r="AN62" i="1"/>
  <c r="AN58" i="1"/>
  <c r="AN54" i="1"/>
  <c r="AN50" i="1"/>
  <c r="AN46" i="1"/>
  <c r="AN42" i="1"/>
  <c r="AN38" i="1"/>
  <c r="AN34" i="1"/>
  <c r="AN89" i="1"/>
  <c r="AN85" i="1"/>
  <c r="AN77" i="1"/>
  <c r="AN73" i="1"/>
  <c r="AN65" i="1"/>
  <c r="AN57" i="1"/>
  <c r="AN49" i="1"/>
  <c r="AN41" i="1"/>
  <c r="AN33" i="1"/>
  <c r="AM91" i="1"/>
  <c r="AM90" i="1"/>
  <c r="AM87" i="1"/>
  <c r="AM86" i="1"/>
  <c r="AM83" i="1"/>
  <c r="AM82" i="1"/>
  <c r="AM79" i="1"/>
  <c r="AM78" i="1"/>
  <c r="AM75" i="1"/>
  <c r="AM74" i="1"/>
  <c r="AM71" i="1"/>
  <c r="AM70" i="1"/>
  <c r="AM67" i="1"/>
  <c r="AM66" i="1"/>
  <c r="AM63" i="1"/>
  <c r="AM62" i="1"/>
  <c r="AM59" i="1"/>
  <c r="AM58" i="1"/>
  <c r="AM55" i="1"/>
  <c r="AM54" i="1"/>
  <c r="AM51" i="1"/>
  <c r="AM50" i="1"/>
  <c r="AM47" i="1"/>
  <c r="AM46" i="1"/>
  <c r="AM43" i="1"/>
  <c r="AM42" i="1"/>
  <c r="AM39" i="1"/>
  <c r="AM38" i="1"/>
  <c r="AM35" i="1"/>
  <c r="AM34" i="1"/>
  <c r="L11" i="3"/>
  <c r="K11" i="3"/>
  <c r="D56" i="3"/>
  <c r="A109" i="2"/>
  <c r="A157" i="2"/>
  <c r="P17" i="1"/>
  <c r="O17" i="1"/>
  <c r="K34" i="1"/>
  <c r="J31" i="1"/>
  <c r="A88" i="2"/>
  <c r="A90" i="2"/>
  <c r="Q63" i="3" s="1"/>
  <c r="P3" i="5" s="1"/>
  <c r="A89" i="2"/>
  <c r="A87" i="2"/>
  <c r="AM49" i="1" l="1"/>
  <c r="AM30" i="1"/>
  <c r="AM45" i="1"/>
  <c r="AM48" i="1"/>
  <c r="AM41" i="1"/>
  <c r="AM44" i="1"/>
  <c r="AM37" i="1"/>
  <c r="AM40" i="1"/>
  <c r="AM33" i="1"/>
  <c r="AM36" i="1"/>
  <c r="AM32" i="1"/>
  <c r="AM88" i="1"/>
  <c r="AM89" i="1"/>
  <c r="AM84" i="1"/>
  <c r="AM85" i="1"/>
  <c r="AM80" i="1"/>
  <c r="AM81" i="1"/>
  <c r="AM76" i="1"/>
  <c r="AM77" i="1"/>
  <c r="AM72" i="1"/>
  <c r="AM73" i="1"/>
  <c r="AM68" i="1"/>
  <c r="AM69" i="1"/>
  <c r="AM60" i="1"/>
  <c r="AM61" i="1"/>
  <c r="AM56" i="1"/>
  <c r="AM57" i="1"/>
  <c r="AM52" i="1"/>
  <c r="AM53" i="1"/>
  <c r="AM64" i="1"/>
  <c r="AM65" i="1"/>
  <c r="P63" i="3"/>
  <c r="O3" i="5" s="1"/>
  <c r="P3" i="6"/>
  <c r="P105" i="3"/>
  <c r="Q105" i="3"/>
  <c r="C344" i="1"/>
  <c r="C345" i="1"/>
  <c r="C346" i="1"/>
  <c r="C347" i="1"/>
  <c r="C348" i="1"/>
  <c r="C349" i="1"/>
  <c r="O344" i="1"/>
  <c r="P344" i="1"/>
  <c r="O345" i="1"/>
  <c r="P345" i="1"/>
  <c r="O346" i="1"/>
  <c r="P346" i="1"/>
  <c r="J347" i="1"/>
  <c r="I347" i="1" s="1"/>
  <c r="K347" i="1"/>
  <c r="H347" i="1" s="1"/>
  <c r="L347" i="1"/>
  <c r="G347" i="1" s="1"/>
  <c r="M347" i="1"/>
  <c r="F347" i="1" s="1"/>
  <c r="O347" i="1"/>
  <c r="P347" i="1"/>
  <c r="J348" i="1"/>
  <c r="I348" i="1" s="1"/>
  <c r="K348" i="1"/>
  <c r="H348" i="1" s="1"/>
  <c r="L348" i="1"/>
  <c r="G348" i="1" s="1"/>
  <c r="M348" i="1"/>
  <c r="F348" i="1" s="1"/>
  <c r="O348" i="1"/>
  <c r="P348" i="1"/>
  <c r="J349" i="1"/>
  <c r="I349" i="1" s="1"/>
  <c r="K349" i="1"/>
  <c r="H349" i="1" s="1"/>
  <c r="L349" i="1"/>
  <c r="G349" i="1" s="1"/>
  <c r="M349" i="1"/>
  <c r="F349" i="1" s="1"/>
  <c r="O349" i="1"/>
  <c r="P349" i="1"/>
  <c r="O3" i="6" l="1"/>
  <c r="A159" i="2"/>
  <c r="B26" i="3" s="1"/>
  <c r="A160" i="2"/>
  <c r="B27" i="3" s="1"/>
  <c r="A161" i="2"/>
  <c r="B28" i="3" s="1"/>
  <c r="A162" i="2"/>
  <c r="B29" i="3" s="1"/>
  <c r="A163" i="2"/>
  <c r="B30" i="3" s="1"/>
  <c r="A164" i="2"/>
  <c r="B31" i="3" s="1"/>
  <c r="A165" i="2"/>
  <c r="B32" i="3" s="1"/>
  <c r="A166" i="2"/>
  <c r="B33" i="3" s="1"/>
  <c r="A167" i="2"/>
  <c r="B34" i="3" s="1"/>
  <c r="A168" i="2"/>
  <c r="B35" i="3" s="1"/>
  <c r="A169" i="2"/>
  <c r="B36" i="3" s="1"/>
  <c r="A170" i="2"/>
  <c r="B37" i="3" s="1"/>
  <c r="A171" i="2"/>
  <c r="B38" i="3" s="1"/>
  <c r="A172" i="2"/>
  <c r="B39" i="3" s="1"/>
  <c r="A173" i="2"/>
  <c r="B40" i="3" s="1"/>
  <c r="A174" i="2"/>
  <c r="B41" i="3" s="1"/>
  <c r="A175" i="2"/>
  <c r="B42" i="3" s="1"/>
  <c r="A176" i="2"/>
  <c r="B43" i="3" s="1"/>
  <c r="A177" i="2"/>
  <c r="B44" i="3" s="1"/>
  <c r="A178" i="2"/>
  <c r="B45" i="3" s="1"/>
  <c r="A179" i="2"/>
  <c r="B46" i="3" s="1"/>
  <c r="A180" i="2"/>
  <c r="B47" i="3" s="1"/>
  <c r="A181" i="2"/>
  <c r="B48" i="3" s="1"/>
  <c r="A182" i="2"/>
  <c r="B49" i="3" s="1"/>
  <c r="A91" i="2"/>
  <c r="A92" i="2"/>
  <c r="A93" i="2"/>
  <c r="BA13" i="4" l="1"/>
  <c r="AQ11" i="4"/>
  <c r="AQ9" i="4"/>
  <c r="A28" i="2"/>
  <c r="A29" i="2"/>
  <c r="A30" i="2"/>
  <c r="A31" i="2"/>
  <c r="C1" i="2" l="1"/>
  <c r="A1" i="3" s="1"/>
  <c r="A81" i="2"/>
  <c r="A79" i="2"/>
  <c r="X9" i="4" s="1"/>
  <c r="A94" i="2"/>
  <c r="A47" i="2"/>
  <c r="A44" i="2"/>
  <c r="A41" i="2"/>
  <c r="A38" i="2"/>
  <c r="A35" i="2"/>
  <c r="A32" i="2"/>
  <c r="A20" i="2"/>
  <c r="A24" i="2"/>
  <c r="A16" i="2"/>
  <c r="A5" i="2"/>
  <c r="A4" i="2"/>
  <c r="D14" i="4" l="1"/>
  <c r="P18" i="3"/>
  <c r="A95" i="2"/>
  <c r="A1" i="5" s="1"/>
  <c r="A86" i="2"/>
  <c r="N63" i="3" s="1"/>
  <c r="M3" i="6" s="1"/>
  <c r="A85" i="2"/>
  <c r="A84" i="2"/>
  <c r="A83" i="2"/>
  <c r="A82" i="2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2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24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176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48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23" i="1"/>
  <c r="C114" i="1"/>
  <c r="C115" i="1"/>
  <c r="C116" i="1"/>
  <c r="C117" i="1"/>
  <c r="C118" i="1"/>
  <c r="C119" i="1"/>
  <c r="C120" i="1"/>
  <c r="C121" i="1"/>
  <c r="C122" i="1"/>
  <c r="C113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9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52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30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2" i="1"/>
  <c r="J238" i="1"/>
  <c r="I238" i="1" s="1"/>
  <c r="K238" i="1"/>
  <c r="H238" i="1" s="1"/>
  <c r="L238" i="1"/>
  <c r="G238" i="1" s="1"/>
  <c r="M238" i="1"/>
  <c r="F238" i="1" s="1"/>
  <c r="J239" i="1"/>
  <c r="I239" i="1" s="1"/>
  <c r="K239" i="1"/>
  <c r="H239" i="1" s="1"/>
  <c r="L239" i="1"/>
  <c r="G239" i="1" s="1"/>
  <c r="M239" i="1"/>
  <c r="F239" i="1" s="1"/>
  <c r="J240" i="1"/>
  <c r="I240" i="1" s="1"/>
  <c r="K240" i="1"/>
  <c r="H240" i="1" s="1"/>
  <c r="L240" i="1"/>
  <c r="G240" i="1" s="1"/>
  <c r="M240" i="1"/>
  <c r="F240" i="1" s="1"/>
  <c r="J241" i="1"/>
  <c r="I241" i="1" s="1"/>
  <c r="K241" i="1"/>
  <c r="H241" i="1" s="1"/>
  <c r="L241" i="1"/>
  <c r="G241" i="1" s="1"/>
  <c r="M241" i="1"/>
  <c r="F241" i="1" s="1"/>
  <c r="J242" i="1"/>
  <c r="I242" i="1" s="1"/>
  <c r="K242" i="1"/>
  <c r="H242" i="1" s="1"/>
  <c r="L242" i="1"/>
  <c r="G242" i="1" s="1"/>
  <c r="M242" i="1"/>
  <c r="F242" i="1" s="1"/>
  <c r="J243" i="1"/>
  <c r="I243" i="1" s="1"/>
  <c r="K243" i="1"/>
  <c r="H243" i="1" s="1"/>
  <c r="L243" i="1"/>
  <c r="G243" i="1" s="1"/>
  <c r="M243" i="1"/>
  <c r="F243" i="1" s="1"/>
  <c r="J244" i="1"/>
  <c r="I244" i="1" s="1"/>
  <c r="K244" i="1"/>
  <c r="H244" i="1" s="1"/>
  <c r="L244" i="1"/>
  <c r="G244" i="1" s="1"/>
  <c r="M244" i="1"/>
  <c r="F244" i="1" s="1"/>
  <c r="J245" i="1"/>
  <c r="I245" i="1" s="1"/>
  <c r="K245" i="1"/>
  <c r="H245" i="1" s="1"/>
  <c r="L245" i="1"/>
  <c r="G245" i="1" s="1"/>
  <c r="M245" i="1"/>
  <c r="F245" i="1" s="1"/>
  <c r="J249" i="1"/>
  <c r="I249" i="1" s="1"/>
  <c r="K249" i="1"/>
  <c r="H249" i="1" s="1"/>
  <c r="L249" i="1"/>
  <c r="G249" i="1" s="1"/>
  <c r="M249" i="1"/>
  <c r="F249" i="1" s="1"/>
  <c r="J250" i="1"/>
  <c r="I250" i="1" s="1"/>
  <c r="K250" i="1"/>
  <c r="H250" i="1" s="1"/>
  <c r="L250" i="1"/>
  <c r="G250" i="1" s="1"/>
  <c r="M250" i="1"/>
  <c r="F250" i="1" s="1"/>
  <c r="J251" i="1"/>
  <c r="I251" i="1" s="1"/>
  <c r="K251" i="1"/>
  <c r="H251" i="1" s="1"/>
  <c r="L251" i="1"/>
  <c r="G251" i="1" s="1"/>
  <c r="M251" i="1"/>
  <c r="F251" i="1" s="1"/>
  <c r="J252" i="1"/>
  <c r="I252" i="1" s="1"/>
  <c r="K252" i="1"/>
  <c r="H252" i="1" s="1"/>
  <c r="L252" i="1"/>
  <c r="G252" i="1" s="1"/>
  <c r="M252" i="1"/>
  <c r="F252" i="1" s="1"/>
  <c r="J253" i="1"/>
  <c r="I253" i="1" s="1"/>
  <c r="K253" i="1"/>
  <c r="H253" i="1" s="1"/>
  <c r="L253" i="1"/>
  <c r="G253" i="1" s="1"/>
  <c r="M253" i="1"/>
  <c r="F253" i="1" s="1"/>
  <c r="J254" i="1"/>
  <c r="I254" i="1" s="1"/>
  <c r="K254" i="1"/>
  <c r="H254" i="1" s="1"/>
  <c r="L254" i="1"/>
  <c r="G254" i="1" s="1"/>
  <c r="M254" i="1"/>
  <c r="F254" i="1" s="1"/>
  <c r="J255" i="1"/>
  <c r="I255" i="1" s="1"/>
  <c r="K255" i="1"/>
  <c r="H255" i="1" s="1"/>
  <c r="L255" i="1"/>
  <c r="G255" i="1" s="1"/>
  <c r="M255" i="1"/>
  <c r="F255" i="1" s="1"/>
  <c r="J256" i="1"/>
  <c r="I256" i="1" s="1"/>
  <c r="K256" i="1"/>
  <c r="H256" i="1" s="1"/>
  <c r="L256" i="1"/>
  <c r="G256" i="1" s="1"/>
  <c r="M256" i="1"/>
  <c r="F256" i="1" s="1"/>
  <c r="J257" i="1"/>
  <c r="I257" i="1" s="1"/>
  <c r="K257" i="1"/>
  <c r="H257" i="1" s="1"/>
  <c r="L257" i="1"/>
  <c r="G257" i="1" s="1"/>
  <c r="M257" i="1"/>
  <c r="F257" i="1" s="1"/>
  <c r="J258" i="1"/>
  <c r="I258" i="1" s="1"/>
  <c r="K258" i="1"/>
  <c r="H258" i="1" s="1"/>
  <c r="L258" i="1"/>
  <c r="G258" i="1" s="1"/>
  <c r="M258" i="1"/>
  <c r="F258" i="1" s="1"/>
  <c r="J259" i="1"/>
  <c r="I259" i="1" s="1"/>
  <c r="K259" i="1"/>
  <c r="H259" i="1" s="1"/>
  <c r="L259" i="1"/>
  <c r="G259" i="1" s="1"/>
  <c r="M259" i="1"/>
  <c r="F259" i="1" s="1"/>
  <c r="J260" i="1"/>
  <c r="I260" i="1" s="1"/>
  <c r="K260" i="1"/>
  <c r="H260" i="1" s="1"/>
  <c r="L260" i="1"/>
  <c r="G260" i="1" s="1"/>
  <c r="M260" i="1"/>
  <c r="F260" i="1" s="1"/>
  <c r="J264" i="1"/>
  <c r="I264" i="1" s="1"/>
  <c r="K264" i="1"/>
  <c r="H264" i="1" s="1"/>
  <c r="L264" i="1"/>
  <c r="G264" i="1" s="1"/>
  <c r="M264" i="1"/>
  <c r="F264" i="1" s="1"/>
  <c r="J265" i="1"/>
  <c r="I265" i="1" s="1"/>
  <c r="K265" i="1"/>
  <c r="H265" i="1" s="1"/>
  <c r="L265" i="1"/>
  <c r="G265" i="1" s="1"/>
  <c r="M265" i="1"/>
  <c r="F265" i="1" s="1"/>
  <c r="J266" i="1"/>
  <c r="I266" i="1" s="1"/>
  <c r="K266" i="1"/>
  <c r="H266" i="1" s="1"/>
  <c r="L266" i="1"/>
  <c r="G266" i="1" s="1"/>
  <c r="M266" i="1"/>
  <c r="F266" i="1" s="1"/>
  <c r="J267" i="1"/>
  <c r="I267" i="1" s="1"/>
  <c r="K267" i="1"/>
  <c r="H267" i="1" s="1"/>
  <c r="L267" i="1"/>
  <c r="G267" i="1" s="1"/>
  <c r="M267" i="1"/>
  <c r="F267" i="1" s="1"/>
  <c r="J268" i="1"/>
  <c r="I268" i="1" s="1"/>
  <c r="K268" i="1"/>
  <c r="H268" i="1" s="1"/>
  <c r="L268" i="1"/>
  <c r="G268" i="1" s="1"/>
  <c r="M268" i="1"/>
  <c r="F268" i="1" s="1"/>
  <c r="J269" i="1"/>
  <c r="I269" i="1" s="1"/>
  <c r="K269" i="1"/>
  <c r="H269" i="1" s="1"/>
  <c r="L269" i="1"/>
  <c r="G269" i="1" s="1"/>
  <c r="M269" i="1"/>
  <c r="F269" i="1" s="1"/>
  <c r="J270" i="1"/>
  <c r="I270" i="1" s="1"/>
  <c r="K270" i="1"/>
  <c r="H270" i="1" s="1"/>
  <c r="L270" i="1"/>
  <c r="G270" i="1" s="1"/>
  <c r="M270" i="1"/>
  <c r="F270" i="1" s="1"/>
  <c r="J271" i="1"/>
  <c r="I271" i="1" s="1"/>
  <c r="K271" i="1"/>
  <c r="H271" i="1" s="1"/>
  <c r="L271" i="1"/>
  <c r="G271" i="1" s="1"/>
  <c r="M271" i="1"/>
  <c r="F271" i="1" s="1"/>
  <c r="J272" i="1"/>
  <c r="I272" i="1" s="1"/>
  <c r="K272" i="1"/>
  <c r="H272" i="1" s="1"/>
  <c r="L272" i="1"/>
  <c r="G272" i="1" s="1"/>
  <c r="M272" i="1"/>
  <c r="F272" i="1" s="1"/>
  <c r="J273" i="1"/>
  <c r="I273" i="1" s="1"/>
  <c r="K273" i="1"/>
  <c r="H273" i="1" s="1"/>
  <c r="L273" i="1"/>
  <c r="G273" i="1" s="1"/>
  <c r="M273" i="1"/>
  <c r="F273" i="1" s="1"/>
  <c r="J274" i="1"/>
  <c r="I274" i="1" s="1"/>
  <c r="K274" i="1"/>
  <c r="H274" i="1" s="1"/>
  <c r="L274" i="1"/>
  <c r="G274" i="1" s="1"/>
  <c r="M274" i="1"/>
  <c r="F274" i="1" s="1"/>
  <c r="J275" i="1"/>
  <c r="I275" i="1" s="1"/>
  <c r="K275" i="1"/>
  <c r="H275" i="1" s="1"/>
  <c r="L275" i="1"/>
  <c r="G275" i="1" s="1"/>
  <c r="M275" i="1"/>
  <c r="F275" i="1" s="1"/>
  <c r="J278" i="1"/>
  <c r="I278" i="1" s="1"/>
  <c r="K278" i="1"/>
  <c r="H278" i="1" s="1"/>
  <c r="L278" i="1"/>
  <c r="G278" i="1" s="1"/>
  <c r="M278" i="1"/>
  <c r="F278" i="1" s="1"/>
  <c r="J279" i="1"/>
  <c r="I279" i="1" s="1"/>
  <c r="K279" i="1"/>
  <c r="H279" i="1" s="1"/>
  <c r="L279" i="1"/>
  <c r="G279" i="1" s="1"/>
  <c r="M279" i="1"/>
  <c r="F279" i="1" s="1"/>
  <c r="J280" i="1"/>
  <c r="I280" i="1" s="1"/>
  <c r="K280" i="1"/>
  <c r="H280" i="1" s="1"/>
  <c r="L280" i="1"/>
  <c r="G280" i="1" s="1"/>
  <c r="M280" i="1"/>
  <c r="F280" i="1" s="1"/>
  <c r="J281" i="1"/>
  <c r="I281" i="1" s="1"/>
  <c r="K281" i="1"/>
  <c r="H281" i="1" s="1"/>
  <c r="L281" i="1"/>
  <c r="G281" i="1" s="1"/>
  <c r="M281" i="1"/>
  <c r="F281" i="1" s="1"/>
  <c r="J282" i="1"/>
  <c r="I282" i="1" s="1"/>
  <c r="K282" i="1"/>
  <c r="H282" i="1" s="1"/>
  <c r="L282" i="1"/>
  <c r="G282" i="1" s="1"/>
  <c r="M282" i="1"/>
  <c r="F282" i="1" s="1"/>
  <c r="J283" i="1"/>
  <c r="I283" i="1" s="1"/>
  <c r="K283" i="1"/>
  <c r="H283" i="1" s="1"/>
  <c r="L283" i="1"/>
  <c r="G283" i="1" s="1"/>
  <c r="M283" i="1"/>
  <c r="F283" i="1" s="1"/>
  <c r="J284" i="1"/>
  <c r="I284" i="1" s="1"/>
  <c r="K284" i="1"/>
  <c r="H284" i="1" s="1"/>
  <c r="L284" i="1"/>
  <c r="G284" i="1" s="1"/>
  <c r="M284" i="1"/>
  <c r="F284" i="1" s="1"/>
  <c r="J285" i="1"/>
  <c r="I285" i="1" s="1"/>
  <c r="K285" i="1"/>
  <c r="H285" i="1" s="1"/>
  <c r="L285" i="1"/>
  <c r="G285" i="1" s="1"/>
  <c r="M285" i="1"/>
  <c r="F285" i="1" s="1"/>
  <c r="J288" i="1"/>
  <c r="I288" i="1" s="1"/>
  <c r="K288" i="1"/>
  <c r="H288" i="1" s="1"/>
  <c r="L288" i="1"/>
  <c r="G288" i="1" s="1"/>
  <c r="M288" i="1"/>
  <c r="F288" i="1" s="1"/>
  <c r="J289" i="1"/>
  <c r="I289" i="1" s="1"/>
  <c r="K289" i="1"/>
  <c r="H289" i="1" s="1"/>
  <c r="L289" i="1"/>
  <c r="G289" i="1" s="1"/>
  <c r="M289" i="1"/>
  <c r="F289" i="1" s="1"/>
  <c r="J290" i="1"/>
  <c r="I290" i="1" s="1"/>
  <c r="K290" i="1"/>
  <c r="H290" i="1" s="1"/>
  <c r="L290" i="1"/>
  <c r="G290" i="1" s="1"/>
  <c r="M290" i="1"/>
  <c r="F290" i="1" s="1"/>
  <c r="J291" i="1"/>
  <c r="I291" i="1" s="1"/>
  <c r="K291" i="1"/>
  <c r="H291" i="1" s="1"/>
  <c r="L291" i="1"/>
  <c r="G291" i="1" s="1"/>
  <c r="M291" i="1"/>
  <c r="F291" i="1" s="1"/>
  <c r="J292" i="1"/>
  <c r="I292" i="1" s="1"/>
  <c r="K292" i="1"/>
  <c r="H292" i="1" s="1"/>
  <c r="L292" i="1"/>
  <c r="G292" i="1" s="1"/>
  <c r="M292" i="1"/>
  <c r="F292" i="1" s="1"/>
  <c r="J293" i="1"/>
  <c r="I293" i="1" s="1"/>
  <c r="K293" i="1"/>
  <c r="H293" i="1" s="1"/>
  <c r="L293" i="1"/>
  <c r="G293" i="1" s="1"/>
  <c r="M293" i="1"/>
  <c r="F293" i="1" s="1"/>
  <c r="J294" i="1"/>
  <c r="I294" i="1" s="1"/>
  <c r="K294" i="1"/>
  <c r="H294" i="1" s="1"/>
  <c r="L294" i="1"/>
  <c r="G294" i="1" s="1"/>
  <c r="M294" i="1"/>
  <c r="F294" i="1" s="1"/>
  <c r="J295" i="1"/>
  <c r="I295" i="1" s="1"/>
  <c r="K295" i="1"/>
  <c r="H295" i="1" s="1"/>
  <c r="L295" i="1"/>
  <c r="G295" i="1" s="1"/>
  <c r="M295" i="1"/>
  <c r="F295" i="1" s="1"/>
  <c r="J298" i="1"/>
  <c r="I298" i="1" s="1"/>
  <c r="K298" i="1"/>
  <c r="H298" i="1" s="1"/>
  <c r="L298" i="1"/>
  <c r="G298" i="1" s="1"/>
  <c r="M298" i="1"/>
  <c r="F298" i="1" s="1"/>
  <c r="J299" i="1"/>
  <c r="I299" i="1" s="1"/>
  <c r="K299" i="1"/>
  <c r="H299" i="1" s="1"/>
  <c r="L299" i="1"/>
  <c r="G299" i="1" s="1"/>
  <c r="M299" i="1"/>
  <c r="F299" i="1" s="1"/>
  <c r="J300" i="1"/>
  <c r="I300" i="1" s="1"/>
  <c r="K300" i="1"/>
  <c r="H300" i="1" s="1"/>
  <c r="L300" i="1"/>
  <c r="G300" i="1" s="1"/>
  <c r="M300" i="1"/>
  <c r="F300" i="1" s="1"/>
  <c r="J301" i="1"/>
  <c r="I301" i="1" s="1"/>
  <c r="K301" i="1"/>
  <c r="H301" i="1" s="1"/>
  <c r="L301" i="1"/>
  <c r="G301" i="1" s="1"/>
  <c r="M301" i="1"/>
  <c r="F301" i="1" s="1"/>
  <c r="J302" i="1"/>
  <c r="I302" i="1" s="1"/>
  <c r="K302" i="1"/>
  <c r="H302" i="1" s="1"/>
  <c r="L302" i="1"/>
  <c r="G302" i="1" s="1"/>
  <c r="M302" i="1"/>
  <c r="F302" i="1" s="1"/>
  <c r="J303" i="1"/>
  <c r="I303" i="1" s="1"/>
  <c r="K303" i="1"/>
  <c r="H303" i="1" s="1"/>
  <c r="L303" i="1"/>
  <c r="G303" i="1" s="1"/>
  <c r="M303" i="1"/>
  <c r="F303" i="1" s="1"/>
  <c r="J304" i="1"/>
  <c r="I304" i="1" s="1"/>
  <c r="K304" i="1"/>
  <c r="H304" i="1" s="1"/>
  <c r="L304" i="1"/>
  <c r="G304" i="1" s="1"/>
  <c r="M304" i="1"/>
  <c r="F304" i="1" s="1"/>
  <c r="J305" i="1"/>
  <c r="I305" i="1" s="1"/>
  <c r="K305" i="1"/>
  <c r="H305" i="1" s="1"/>
  <c r="L305" i="1"/>
  <c r="G305" i="1" s="1"/>
  <c r="M305" i="1"/>
  <c r="F305" i="1" s="1"/>
  <c r="J308" i="1"/>
  <c r="I308" i="1" s="1"/>
  <c r="K308" i="1"/>
  <c r="H308" i="1" s="1"/>
  <c r="L308" i="1"/>
  <c r="G308" i="1" s="1"/>
  <c r="M308" i="1"/>
  <c r="F308" i="1" s="1"/>
  <c r="J309" i="1"/>
  <c r="I309" i="1" s="1"/>
  <c r="K309" i="1"/>
  <c r="H309" i="1" s="1"/>
  <c r="L309" i="1"/>
  <c r="G309" i="1" s="1"/>
  <c r="M309" i="1"/>
  <c r="F309" i="1" s="1"/>
  <c r="J310" i="1"/>
  <c r="I310" i="1" s="1"/>
  <c r="K310" i="1"/>
  <c r="H310" i="1" s="1"/>
  <c r="L310" i="1"/>
  <c r="G310" i="1" s="1"/>
  <c r="M310" i="1"/>
  <c r="F310" i="1" s="1"/>
  <c r="J311" i="1"/>
  <c r="I311" i="1" s="1"/>
  <c r="K311" i="1"/>
  <c r="H311" i="1" s="1"/>
  <c r="L311" i="1"/>
  <c r="G311" i="1" s="1"/>
  <c r="M311" i="1"/>
  <c r="F311" i="1" s="1"/>
  <c r="J312" i="1"/>
  <c r="I312" i="1" s="1"/>
  <c r="K312" i="1"/>
  <c r="H312" i="1" s="1"/>
  <c r="L312" i="1"/>
  <c r="G312" i="1" s="1"/>
  <c r="M312" i="1"/>
  <c r="F312" i="1" s="1"/>
  <c r="J313" i="1"/>
  <c r="I313" i="1" s="1"/>
  <c r="K313" i="1"/>
  <c r="H313" i="1" s="1"/>
  <c r="L313" i="1"/>
  <c r="G313" i="1" s="1"/>
  <c r="M313" i="1"/>
  <c r="F313" i="1" s="1"/>
  <c r="J314" i="1"/>
  <c r="I314" i="1" s="1"/>
  <c r="K314" i="1"/>
  <c r="H314" i="1" s="1"/>
  <c r="L314" i="1"/>
  <c r="G314" i="1" s="1"/>
  <c r="M314" i="1"/>
  <c r="F314" i="1" s="1"/>
  <c r="J315" i="1"/>
  <c r="I315" i="1" s="1"/>
  <c r="K315" i="1"/>
  <c r="H315" i="1" s="1"/>
  <c r="L315" i="1"/>
  <c r="G315" i="1" s="1"/>
  <c r="M315" i="1"/>
  <c r="F315" i="1" s="1"/>
  <c r="J317" i="1"/>
  <c r="I317" i="1" s="1"/>
  <c r="K317" i="1"/>
  <c r="H317" i="1" s="1"/>
  <c r="L317" i="1"/>
  <c r="G317" i="1" s="1"/>
  <c r="M317" i="1"/>
  <c r="F317" i="1" s="1"/>
  <c r="J318" i="1"/>
  <c r="I318" i="1" s="1"/>
  <c r="K318" i="1"/>
  <c r="H318" i="1" s="1"/>
  <c r="L318" i="1"/>
  <c r="G318" i="1" s="1"/>
  <c r="M318" i="1"/>
  <c r="F318" i="1" s="1"/>
  <c r="J319" i="1"/>
  <c r="I319" i="1" s="1"/>
  <c r="K319" i="1"/>
  <c r="H319" i="1" s="1"/>
  <c r="L319" i="1"/>
  <c r="G319" i="1" s="1"/>
  <c r="M319" i="1"/>
  <c r="F319" i="1" s="1"/>
  <c r="J320" i="1"/>
  <c r="I320" i="1" s="1"/>
  <c r="K320" i="1"/>
  <c r="H320" i="1" s="1"/>
  <c r="L320" i="1"/>
  <c r="G320" i="1" s="1"/>
  <c r="M320" i="1"/>
  <c r="F320" i="1" s="1"/>
  <c r="J322" i="1"/>
  <c r="I322" i="1" s="1"/>
  <c r="K322" i="1"/>
  <c r="H322" i="1" s="1"/>
  <c r="L322" i="1"/>
  <c r="G322" i="1" s="1"/>
  <c r="M322" i="1"/>
  <c r="F322" i="1" s="1"/>
  <c r="J323" i="1"/>
  <c r="I323" i="1" s="1"/>
  <c r="K323" i="1"/>
  <c r="H323" i="1" s="1"/>
  <c r="L323" i="1"/>
  <c r="G323" i="1" s="1"/>
  <c r="M323" i="1"/>
  <c r="F323" i="1" s="1"/>
  <c r="J324" i="1"/>
  <c r="I324" i="1" s="1"/>
  <c r="K324" i="1"/>
  <c r="H324" i="1" s="1"/>
  <c r="L324" i="1"/>
  <c r="G324" i="1" s="1"/>
  <c r="M324" i="1"/>
  <c r="F324" i="1" s="1"/>
  <c r="J325" i="1"/>
  <c r="I325" i="1" s="1"/>
  <c r="K325" i="1"/>
  <c r="H325" i="1" s="1"/>
  <c r="L325" i="1"/>
  <c r="G325" i="1" s="1"/>
  <c r="M325" i="1"/>
  <c r="F325" i="1" s="1"/>
  <c r="J328" i="1"/>
  <c r="I328" i="1" s="1"/>
  <c r="K328" i="1"/>
  <c r="H328" i="1" s="1"/>
  <c r="L328" i="1"/>
  <c r="G328" i="1" s="1"/>
  <c r="M328" i="1"/>
  <c r="F328" i="1" s="1"/>
  <c r="J329" i="1"/>
  <c r="I329" i="1" s="1"/>
  <c r="K329" i="1"/>
  <c r="H329" i="1" s="1"/>
  <c r="L329" i="1"/>
  <c r="G329" i="1" s="1"/>
  <c r="M329" i="1"/>
  <c r="F329" i="1" s="1"/>
  <c r="J332" i="1"/>
  <c r="I332" i="1" s="1"/>
  <c r="K332" i="1"/>
  <c r="H332" i="1" s="1"/>
  <c r="L332" i="1"/>
  <c r="G332" i="1" s="1"/>
  <c r="M332" i="1"/>
  <c r="F332" i="1" s="1"/>
  <c r="J333" i="1"/>
  <c r="I333" i="1" s="1"/>
  <c r="K333" i="1"/>
  <c r="H333" i="1" s="1"/>
  <c r="L333" i="1"/>
  <c r="G333" i="1" s="1"/>
  <c r="M333" i="1"/>
  <c r="F333" i="1" s="1"/>
  <c r="J336" i="1"/>
  <c r="I336" i="1" s="1"/>
  <c r="K336" i="1"/>
  <c r="H336" i="1" s="1"/>
  <c r="L336" i="1"/>
  <c r="G336" i="1" s="1"/>
  <c r="M336" i="1"/>
  <c r="F336" i="1" s="1"/>
  <c r="J337" i="1"/>
  <c r="I337" i="1" s="1"/>
  <c r="K337" i="1"/>
  <c r="H337" i="1" s="1"/>
  <c r="L337" i="1"/>
  <c r="G337" i="1" s="1"/>
  <c r="M337" i="1"/>
  <c r="F337" i="1" s="1"/>
  <c r="J341" i="1"/>
  <c r="I341" i="1" s="1"/>
  <c r="K341" i="1"/>
  <c r="H341" i="1" s="1"/>
  <c r="L341" i="1"/>
  <c r="G341" i="1" s="1"/>
  <c r="M341" i="1"/>
  <c r="F341" i="1" s="1"/>
  <c r="J342" i="1"/>
  <c r="I342" i="1" s="1"/>
  <c r="K342" i="1"/>
  <c r="H342" i="1" s="1"/>
  <c r="L342" i="1"/>
  <c r="G342" i="1" s="1"/>
  <c r="M342" i="1"/>
  <c r="F342" i="1" s="1"/>
  <c r="J343" i="1"/>
  <c r="I343" i="1" s="1"/>
  <c r="K343" i="1"/>
  <c r="H343" i="1" s="1"/>
  <c r="L343" i="1"/>
  <c r="G343" i="1" s="1"/>
  <c r="M343" i="1"/>
  <c r="F343" i="1" s="1"/>
  <c r="J354" i="1"/>
  <c r="I354" i="1" s="1"/>
  <c r="K354" i="1"/>
  <c r="H354" i="1" s="1"/>
  <c r="L354" i="1"/>
  <c r="G354" i="1" s="1"/>
  <c r="M354" i="1"/>
  <c r="F354" i="1" s="1"/>
  <c r="J355" i="1"/>
  <c r="I355" i="1" s="1"/>
  <c r="K355" i="1"/>
  <c r="H355" i="1" s="1"/>
  <c r="L355" i="1"/>
  <c r="G355" i="1" s="1"/>
  <c r="M355" i="1"/>
  <c r="F355" i="1" s="1"/>
  <c r="J356" i="1"/>
  <c r="I356" i="1" s="1"/>
  <c r="K356" i="1"/>
  <c r="H356" i="1" s="1"/>
  <c r="L356" i="1"/>
  <c r="G356" i="1" s="1"/>
  <c r="M356" i="1"/>
  <c r="F356" i="1" s="1"/>
  <c r="J357" i="1"/>
  <c r="I357" i="1" s="1"/>
  <c r="K357" i="1"/>
  <c r="H357" i="1" s="1"/>
  <c r="L357" i="1"/>
  <c r="G357" i="1" s="1"/>
  <c r="M357" i="1"/>
  <c r="F357" i="1" s="1"/>
  <c r="J362" i="1"/>
  <c r="I362" i="1" s="1"/>
  <c r="K362" i="1"/>
  <c r="H362" i="1" s="1"/>
  <c r="L362" i="1"/>
  <c r="G362" i="1" s="1"/>
  <c r="M362" i="1"/>
  <c r="F362" i="1" s="1"/>
  <c r="J363" i="1"/>
  <c r="I363" i="1" s="1"/>
  <c r="K363" i="1"/>
  <c r="H363" i="1" s="1"/>
  <c r="L363" i="1"/>
  <c r="G363" i="1" s="1"/>
  <c r="M363" i="1"/>
  <c r="F363" i="1" s="1"/>
  <c r="J364" i="1"/>
  <c r="I364" i="1" s="1"/>
  <c r="K364" i="1"/>
  <c r="H364" i="1" s="1"/>
  <c r="L364" i="1"/>
  <c r="G364" i="1" s="1"/>
  <c r="M364" i="1"/>
  <c r="F364" i="1" s="1"/>
  <c r="J365" i="1"/>
  <c r="I365" i="1" s="1"/>
  <c r="K365" i="1"/>
  <c r="H365" i="1" s="1"/>
  <c r="L365" i="1"/>
  <c r="G365" i="1" s="1"/>
  <c r="M365" i="1"/>
  <c r="F365" i="1" s="1"/>
  <c r="J369" i="1"/>
  <c r="I369" i="1" s="1"/>
  <c r="K369" i="1"/>
  <c r="H369" i="1" s="1"/>
  <c r="L369" i="1"/>
  <c r="G369" i="1" s="1"/>
  <c r="M369" i="1"/>
  <c r="F369" i="1" s="1"/>
  <c r="J370" i="1"/>
  <c r="I370" i="1" s="1"/>
  <c r="K370" i="1"/>
  <c r="H370" i="1" s="1"/>
  <c r="L370" i="1"/>
  <c r="G370" i="1" s="1"/>
  <c r="M370" i="1"/>
  <c r="F370" i="1" s="1"/>
  <c r="J371" i="1"/>
  <c r="I371" i="1" s="1"/>
  <c r="K371" i="1"/>
  <c r="H371" i="1" s="1"/>
  <c r="L371" i="1"/>
  <c r="G371" i="1" s="1"/>
  <c r="M371" i="1"/>
  <c r="F371" i="1" s="1"/>
  <c r="J376" i="1"/>
  <c r="I376" i="1" s="1"/>
  <c r="K376" i="1"/>
  <c r="H376" i="1" s="1"/>
  <c r="L376" i="1"/>
  <c r="G376" i="1" s="1"/>
  <c r="M376" i="1"/>
  <c r="F376" i="1" s="1"/>
  <c r="J377" i="1"/>
  <c r="I377" i="1" s="1"/>
  <c r="K377" i="1"/>
  <c r="H377" i="1" s="1"/>
  <c r="L377" i="1"/>
  <c r="G377" i="1" s="1"/>
  <c r="M377" i="1"/>
  <c r="F377" i="1" s="1"/>
  <c r="J378" i="1"/>
  <c r="I378" i="1" s="1"/>
  <c r="K378" i="1"/>
  <c r="H378" i="1" s="1"/>
  <c r="L378" i="1"/>
  <c r="G378" i="1" s="1"/>
  <c r="M378" i="1"/>
  <c r="F378" i="1" s="1"/>
  <c r="J379" i="1"/>
  <c r="I379" i="1" s="1"/>
  <c r="K379" i="1"/>
  <c r="H379" i="1" s="1"/>
  <c r="L379" i="1"/>
  <c r="G379" i="1" s="1"/>
  <c r="M379" i="1"/>
  <c r="F379" i="1" s="1"/>
  <c r="J384" i="1"/>
  <c r="I384" i="1" s="1"/>
  <c r="K384" i="1"/>
  <c r="H384" i="1" s="1"/>
  <c r="L384" i="1"/>
  <c r="G384" i="1" s="1"/>
  <c r="M384" i="1"/>
  <c r="F384" i="1" s="1"/>
  <c r="J385" i="1"/>
  <c r="I385" i="1" s="1"/>
  <c r="K385" i="1"/>
  <c r="H385" i="1" s="1"/>
  <c r="L385" i="1"/>
  <c r="G385" i="1" s="1"/>
  <c r="M385" i="1"/>
  <c r="F385" i="1" s="1"/>
  <c r="J386" i="1"/>
  <c r="I386" i="1" s="1"/>
  <c r="K386" i="1"/>
  <c r="H386" i="1" s="1"/>
  <c r="L386" i="1"/>
  <c r="G386" i="1" s="1"/>
  <c r="M386" i="1"/>
  <c r="F386" i="1" s="1"/>
  <c r="J387" i="1"/>
  <c r="I387" i="1" s="1"/>
  <c r="K387" i="1"/>
  <c r="H387" i="1" s="1"/>
  <c r="L387" i="1"/>
  <c r="G387" i="1" s="1"/>
  <c r="M387" i="1"/>
  <c r="F387" i="1" s="1"/>
  <c r="J391" i="1"/>
  <c r="I391" i="1" s="1"/>
  <c r="K391" i="1"/>
  <c r="H391" i="1" s="1"/>
  <c r="L391" i="1"/>
  <c r="G391" i="1" s="1"/>
  <c r="M391" i="1"/>
  <c r="F391" i="1" s="1"/>
  <c r="J392" i="1"/>
  <c r="I392" i="1" s="1"/>
  <c r="K392" i="1"/>
  <c r="H392" i="1" s="1"/>
  <c r="L392" i="1"/>
  <c r="G392" i="1" s="1"/>
  <c r="M392" i="1"/>
  <c r="F392" i="1" s="1"/>
  <c r="J393" i="1"/>
  <c r="I393" i="1" s="1"/>
  <c r="K393" i="1"/>
  <c r="H393" i="1" s="1"/>
  <c r="L393" i="1"/>
  <c r="G393" i="1" s="1"/>
  <c r="M393" i="1"/>
  <c r="F393" i="1" s="1"/>
  <c r="J230" i="1"/>
  <c r="I230" i="1" s="1"/>
  <c r="K230" i="1"/>
  <c r="H230" i="1" s="1"/>
  <c r="L230" i="1"/>
  <c r="G230" i="1" s="1"/>
  <c r="M230" i="1"/>
  <c r="F230" i="1" s="1"/>
  <c r="J231" i="1"/>
  <c r="I231" i="1" s="1"/>
  <c r="K231" i="1"/>
  <c r="H231" i="1" s="1"/>
  <c r="L231" i="1"/>
  <c r="G231" i="1" s="1"/>
  <c r="M231" i="1"/>
  <c r="F231" i="1" s="1"/>
  <c r="J232" i="1"/>
  <c r="I232" i="1" s="1"/>
  <c r="K232" i="1"/>
  <c r="H232" i="1" s="1"/>
  <c r="L232" i="1"/>
  <c r="G232" i="1" s="1"/>
  <c r="M232" i="1"/>
  <c r="F232" i="1" s="1"/>
  <c r="J233" i="1"/>
  <c r="I233" i="1" s="1"/>
  <c r="K233" i="1"/>
  <c r="H233" i="1" s="1"/>
  <c r="L233" i="1"/>
  <c r="G233" i="1" s="1"/>
  <c r="M233" i="1"/>
  <c r="F233" i="1" s="1"/>
  <c r="J234" i="1"/>
  <c r="I234" i="1" s="1"/>
  <c r="K234" i="1"/>
  <c r="H234" i="1" s="1"/>
  <c r="L234" i="1"/>
  <c r="G234" i="1" s="1"/>
  <c r="M234" i="1"/>
  <c r="F234" i="1" s="1"/>
  <c r="J235" i="1"/>
  <c r="I235" i="1" s="1"/>
  <c r="K235" i="1"/>
  <c r="H235" i="1" s="1"/>
  <c r="L235" i="1"/>
  <c r="G235" i="1" s="1"/>
  <c r="M235" i="1"/>
  <c r="F235" i="1" s="1"/>
  <c r="J62" i="1"/>
  <c r="I62" i="1" s="1"/>
  <c r="K62" i="1"/>
  <c r="H62" i="1" s="1"/>
  <c r="L62" i="1"/>
  <c r="G62" i="1" s="1"/>
  <c r="M62" i="1"/>
  <c r="F62" i="1" s="1"/>
  <c r="J63" i="1"/>
  <c r="I63" i="1" s="1"/>
  <c r="K63" i="1"/>
  <c r="H63" i="1" s="1"/>
  <c r="L63" i="1"/>
  <c r="G63" i="1" s="1"/>
  <c r="M63" i="1"/>
  <c r="F63" i="1" s="1"/>
  <c r="J66" i="1"/>
  <c r="I66" i="1" s="1"/>
  <c r="K66" i="1"/>
  <c r="H66" i="1" s="1"/>
  <c r="L66" i="1"/>
  <c r="G66" i="1" s="1"/>
  <c r="M66" i="1"/>
  <c r="F66" i="1" s="1"/>
  <c r="J67" i="1"/>
  <c r="I67" i="1" s="1"/>
  <c r="K67" i="1"/>
  <c r="H67" i="1" s="1"/>
  <c r="L67" i="1"/>
  <c r="G67" i="1" s="1"/>
  <c r="M67" i="1"/>
  <c r="F67" i="1" s="1"/>
  <c r="J70" i="1"/>
  <c r="I70" i="1" s="1"/>
  <c r="K70" i="1"/>
  <c r="H70" i="1" s="1"/>
  <c r="L70" i="1"/>
  <c r="G70" i="1" s="1"/>
  <c r="M70" i="1"/>
  <c r="F70" i="1" s="1"/>
  <c r="J71" i="1"/>
  <c r="I71" i="1" s="1"/>
  <c r="K71" i="1"/>
  <c r="H71" i="1" s="1"/>
  <c r="L71" i="1"/>
  <c r="G71" i="1" s="1"/>
  <c r="M71" i="1"/>
  <c r="F71" i="1" s="1"/>
  <c r="J74" i="1"/>
  <c r="I74" i="1" s="1"/>
  <c r="K74" i="1"/>
  <c r="H74" i="1" s="1"/>
  <c r="L74" i="1"/>
  <c r="G74" i="1" s="1"/>
  <c r="M74" i="1"/>
  <c r="F74" i="1" s="1"/>
  <c r="J75" i="1"/>
  <c r="I75" i="1" s="1"/>
  <c r="K75" i="1"/>
  <c r="H75" i="1" s="1"/>
  <c r="L75" i="1"/>
  <c r="G75" i="1" s="1"/>
  <c r="M75" i="1"/>
  <c r="F75" i="1" s="1"/>
  <c r="J78" i="1"/>
  <c r="I78" i="1" s="1"/>
  <c r="K78" i="1"/>
  <c r="H78" i="1" s="1"/>
  <c r="L78" i="1"/>
  <c r="G78" i="1" s="1"/>
  <c r="M78" i="1"/>
  <c r="F78" i="1" s="1"/>
  <c r="J79" i="1"/>
  <c r="I79" i="1" s="1"/>
  <c r="K79" i="1"/>
  <c r="H79" i="1" s="1"/>
  <c r="L79" i="1"/>
  <c r="G79" i="1" s="1"/>
  <c r="M79" i="1"/>
  <c r="F79" i="1" s="1"/>
  <c r="J82" i="1"/>
  <c r="I82" i="1" s="1"/>
  <c r="K82" i="1"/>
  <c r="H82" i="1" s="1"/>
  <c r="L82" i="1"/>
  <c r="G82" i="1" s="1"/>
  <c r="M82" i="1"/>
  <c r="F82" i="1" s="1"/>
  <c r="J83" i="1"/>
  <c r="I83" i="1" s="1"/>
  <c r="K83" i="1"/>
  <c r="H83" i="1" s="1"/>
  <c r="L83" i="1"/>
  <c r="G83" i="1" s="1"/>
  <c r="M83" i="1"/>
  <c r="F83" i="1" s="1"/>
  <c r="J86" i="1"/>
  <c r="I86" i="1" s="1"/>
  <c r="K86" i="1"/>
  <c r="H86" i="1" s="1"/>
  <c r="L86" i="1"/>
  <c r="G86" i="1" s="1"/>
  <c r="M86" i="1"/>
  <c r="F86" i="1" s="1"/>
  <c r="J87" i="1"/>
  <c r="I87" i="1" s="1"/>
  <c r="K87" i="1"/>
  <c r="H87" i="1" s="1"/>
  <c r="L87" i="1"/>
  <c r="G87" i="1" s="1"/>
  <c r="M87" i="1"/>
  <c r="F87" i="1" s="1"/>
  <c r="J90" i="1"/>
  <c r="I90" i="1" s="1"/>
  <c r="K90" i="1"/>
  <c r="H90" i="1" s="1"/>
  <c r="L90" i="1"/>
  <c r="G90" i="1" s="1"/>
  <c r="M90" i="1"/>
  <c r="F90" i="1" s="1"/>
  <c r="J91" i="1"/>
  <c r="I91" i="1" s="1"/>
  <c r="K91" i="1"/>
  <c r="H91" i="1" s="1"/>
  <c r="L91" i="1"/>
  <c r="G91" i="1" s="1"/>
  <c r="M91" i="1"/>
  <c r="F91" i="1" s="1"/>
  <c r="J93" i="1"/>
  <c r="I93" i="1" s="1"/>
  <c r="K93" i="1"/>
  <c r="H93" i="1" s="1"/>
  <c r="L93" i="1"/>
  <c r="G93" i="1" s="1"/>
  <c r="M93" i="1"/>
  <c r="F93" i="1" s="1"/>
  <c r="J94" i="1"/>
  <c r="I94" i="1" s="1"/>
  <c r="K94" i="1"/>
  <c r="H94" i="1" s="1"/>
  <c r="L94" i="1"/>
  <c r="G94" i="1" s="1"/>
  <c r="M94" i="1"/>
  <c r="F94" i="1" s="1"/>
  <c r="J96" i="1"/>
  <c r="I96" i="1" s="1"/>
  <c r="K96" i="1"/>
  <c r="H96" i="1" s="1"/>
  <c r="L96" i="1"/>
  <c r="G96" i="1" s="1"/>
  <c r="M96" i="1"/>
  <c r="F96" i="1" s="1"/>
  <c r="J97" i="1"/>
  <c r="I97" i="1" s="1"/>
  <c r="K97" i="1"/>
  <c r="H97" i="1" s="1"/>
  <c r="L97" i="1"/>
  <c r="G97" i="1" s="1"/>
  <c r="M97" i="1"/>
  <c r="F97" i="1" s="1"/>
  <c r="J99" i="1"/>
  <c r="I99" i="1" s="1"/>
  <c r="K99" i="1"/>
  <c r="H99" i="1" s="1"/>
  <c r="L99" i="1"/>
  <c r="G99" i="1" s="1"/>
  <c r="M99" i="1"/>
  <c r="F99" i="1" s="1"/>
  <c r="J100" i="1"/>
  <c r="I100" i="1" s="1"/>
  <c r="K100" i="1"/>
  <c r="H100" i="1" s="1"/>
  <c r="L100" i="1"/>
  <c r="G100" i="1" s="1"/>
  <c r="M100" i="1"/>
  <c r="F100" i="1" s="1"/>
  <c r="J102" i="1"/>
  <c r="I102" i="1" s="1"/>
  <c r="K102" i="1"/>
  <c r="H102" i="1" s="1"/>
  <c r="L102" i="1"/>
  <c r="G102" i="1" s="1"/>
  <c r="M102" i="1"/>
  <c r="F102" i="1" s="1"/>
  <c r="J103" i="1"/>
  <c r="I103" i="1" s="1"/>
  <c r="K103" i="1"/>
  <c r="H103" i="1" s="1"/>
  <c r="L103" i="1"/>
  <c r="G103" i="1" s="1"/>
  <c r="M103" i="1"/>
  <c r="F103" i="1" s="1"/>
  <c r="J105" i="1"/>
  <c r="I105" i="1" s="1"/>
  <c r="K105" i="1"/>
  <c r="H105" i="1" s="1"/>
  <c r="L105" i="1"/>
  <c r="G105" i="1" s="1"/>
  <c r="M105" i="1"/>
  <c r="F105" i="1" s="1"/>
  <c r="J106" i="1"/>
  <c r="I106" i="1" s="1"/>
  <c r="K106" i="1"/>
  <c r="H106" i="1" s="1"/>
  <c r="L106" i="1"/>
  <c r="G106" i="1" s="1"/>
  <c r="M106" i="1"/>
  <c r="F106" i="1" s="1"/>
  <c r="J108" i="1"/>
  <c r="I108" i="1" s="1"/>
  <c r="K108" i="1"/>
  <c r="H108" i="1" s="1"/>
  <c r="L108" i="1"/>
  <c r="G108" i="1" s="1"/>
  <c r="M108" i="1"/>
  <c r="F108" i="1" s="1"/>
  <c r="J109" i="1"/>
  <c r="I109" i="1" s="1"/>
  <c r="K109" i="1"/>
  <c r="H109" i="1" s="1"/>
  <c r="L109" i="1"/>
  <c r="G109" i="1" s="1"/>
  <c r="M109" i="1"/>
  <c r="F109" i="1" s="1"/>
  <c r="J111" i="1"/>
  <c r="I111" i="1" s="1"/>
  <c r="K111" i="1"/>
  <c r="H111" i="1" s="1"/>
  <c r="L111" i="1"/>
  <c r="G111" i="1" s="1"/>
  <c r="M111" i="1"/>
  <c r="F111" i="1" s="1"/>
  <c r="J112" i="1"/>
  <c r="I112" i="1" s="1"/>
  <c r="K112" i="1"/>
  <c r="H112" i="1" s="1"/>
  <c r="L112" i="1"/>
  <c r="G112" i="1" s="1"/>
  <c r="M112" i="1"/>
  <c r="F112" i="1" s="1"/>
  <c r="J114" i="1"/>
  <c r="I114" i="1" s="1"/>
  <c r="K114" i="1"/>
  <c r="H114" i="1" s="1"/>
  <c r="L114" i="1"/>
  <c r="G114" i="1" s="1"/>
  <c r="M114" i="1"/>
  <c r="F114" i="1" s="1"/>
  <c r="J116" i="1"/>
  <c r="I116" i="1" s="1"/>
  <c r="K116" i="1"/>
  <c r="H116" i="1" s="1"/>
  <c r="L116" i="1"/>
  <c r="G116" i="1" s="1"/>
  <c r="M116" i="1"/>
  <c r="F116" i="1" s="1"/>
  <c r="J118" i="1"/>
  <c r="I118" i="1" s="1"/>
  <c r="K118" i="1"/>
  <c r="H118" i="1" s="1"/>
  <c r="L118" i="1"/>
  <c r="G118" i="1" s="1"/>
  <c r="M118" i="1"/>
  <c r="F118" i="1" s="1"/>
  <c r="J120" i="1"/>
  <c r="I120" i="1" s="1"/>
  <c r="K120" i="1"/>
  <c r="H120" i="1" s="1"/>
  <c r="L120" i="1"/>
  <c r="G120" i="1" s="1"/>
  <c r="M120" i="1"/>
  <c r="F120" i="1" s="1"/>
  <c r="J122" i="1"/>
  <c r="I122" i="1" s="1"/>
  <c r="K122" i="1"/>
  <c r="H122" i="1" s="1"/>
  <c r="L122" i="1"/>
  <c r="G122" i="1" s="1"/>
  <c r="M122" i="1"/>
  <c r="F122" i="1" s="1"/>
  <c r="J124" i="1"/>
  <c r="I124" i="1" s="1"/>
  <c r="K124" i="1"/>
  <c r="H124" i="1" s="1"/>
  <c r="L124" i="1"/>
  <c r="G124" i="1" s="1"/>
  <c r="M124" i="1"/>
  <c r="F124" i="1" s="1"/>
  <c r="J125" i="1"/>
  <c r="I125" i="1" s="1"/>
  <c r="K125" i="1"/>
  <c r="H125" i="1" s="1"/>
  <c r="L125" i="1"/>
  <c r="G125" i="1" s="1"/>
  <c r="M125" i="1"/>
  <c r="F125" i="1" s="1"/>
  <c r="J126" i="1"/>
  <c r="I126" i="1" s="1"/>
  <c r="K126" i="1"/>
  <c r="H126" i="1" s="1"/>
  <c r="L126" i="1"/>
  <c r="G126" i="1" s="1"/>
  <c r="M126" i="1"/>
  <c r="F126" i="1" s="1"/>
  <c r="J127" i="1"/>
  <c r="I127" i="1" s="1"/>
  <c r="K127" i="1"/>
  <c r="H127" i="1" s="1"/>
  <c r="L127" i="1"/>
  <c r="G127" i="1" s="1"/>
  <c r="M127" i="1"/>
  <c r="F127" i="1" s="1"/>
  <c r="J129" i="1"/>
  <c r="I129" i="1" s="1"/>
  <c r="K129" i="1"/>
  <c r="H129" i="1" s="1"/>
  <c r="L129" i="1"/>
  <c r="G129" i="1" s="1"/>
  <c r="M129" i="1"/>
  <c r="F129" i="1" s="1"/>
  <c r="J130" i="1"/>
  <c r="I130" i="1" s="1"/>
  <c r="K130" i="1"/>
  <c r="H130" i="1" s="1"/>
  <c r="L130" i="1"/>
  <c r="G130" i="1" s="1"/>
  <c r="M130" i="1"/>
  <c r="F130" i="1" s="1"/>
  <c r="J131" i="1"/>
  <c r="I131" i="1" s="1"/>
  <c r="K131" i="1"/>
  <c r="H131" i="1" s="1"/>
  <c r="L131" i="1"/>
  <c r="G131" i="1" s="1"/>
  <c r="M131" i="1"/>
  <c r="F131" i="1" s="1"/>
  <c r="J132" i="1"/>
  <c r="I132" i="1" s="1"/>
  <c r="K132" i="1"/>
  <c r="H132" i="1" s="1"/>
  <c r="L132" i="1"/>
  <c r="G132" i="1" s="1"/>
  <c r="M132" i="1"/>
  <c r="F132" i="1" s="1"/>
  <c r="J134" i="1"/>
  <c r="I134" i="1" s="1"/>
  <c r="K134" i="1"/>
  <c r="H134" i="1" s="1"/>
  <c r="L134" i="1"/>
  <c r="G134" i="1" s="1"/>
  <c r="M134" i="1"/>
  <c r="F134" i="1" s="1"/>
  <c r="J135" i="1"/>
  <c r="I135" i="1" s="1"/>
  <c r="K135" i="1"/>
  <c r="H135" i="1" s="1"/>
  <c r="L135" i="1"/>
  <c r="G135" i="1" s="1"/>
  <c r="M135" i="1"/>
  <c r="F135" i="1" s="1"/>
  <c r="J136" i="1"/>
  <c r="I136" i="1" s="1"/>
  <c r="K136" i="1"/>
  <c r="H136" i="1" s="1"/>
  <c r="L136" i="1"/>
  <c r="G136" i="1" s="1"/>
  <c r="M136" i="1"/>
  <c r="F136" i="1" s="1"/>
  <c r="J137" i="1"/>
  <c r="I137" i="1" s="1"/>
  <c r="K137" i="1"/>
  <c r="H137" i="1" s="1"/>
  <c r="L137" i="1"/>
  <c r="G137" i="1" s="1"/>
  <c r="M137" i="1"/>
  <c r="F137" i="1" s="1"/>
  <c r="J139" i="1"/>
  <c r="I139" i="1" s="1"/>
  <c r="K139" i="1"/>
  <c r="H139" i="1" s="1"/>
  <c r="L139" i="1"/>
  <c r="G139" i="1" s="1"/>
  <c r="M139" i="1"/>
  <c r="F139" i="1" s="1"/>
  <c r="J140" i="1"/>
  <c r="I140" i="1" s="1"/>
  <c r="K140" i="1"/>
  <c r="H140" i="1" s="1"/>
  <c r="L140" i="1"/>
  <c r="G140" i="1" s="1"/>
  <c r="M140" i="1"/>
  <c r="F140" i="1" s="1"/>
  <c r="J141" i="1"/>
  <c r="I141" i="1" s="1"/>
  <c r="K141" i="1"/>
  <c r="H141" i="1" s="1"/>
  <c r="L141" i="1"/>
  <c r="G141" i="1" s="1"/>
  <c r="M141" i="1"/>
  <c r="F141" i="1" s="1"/>
  <c r="J142" i="1"/>
  <c r="I142" i="1" s="1"/>
  <c r="K142" i="1"/>
  <c r="H142" i="1" s="1"/>
  <c r="L142" i="1"/>
  <c r="G142" i="1" s="1"/>
  <c r="M142" i="1"/>
  <c r="F142" i="1" s="1"/>
  <c r="J144" i="1"/>
  <c r="I144" i="1" s="1"/>
  <c r="K144" i="1"/>
  <c r="H144" i="1" s="1"/>
  <c r="L144" i="1"/>
  <c r="G144" i="1" s="1"/>
  <c r="M144" i="1"/>
  <c r="F144" i="1" s="1"/>
  <c r="J145" i="1"/>
  <c r="I145" i="1" s="1"/>
  <c r="K145" i="1"/>
  <c r="H145" i="1" s="1"/>
  <c r="L145" i="1"/>
  <c r="G145" i="1" s="1"/>
  <c r="M145" i="1"/>
  <c r="F145" i="1" s="1"/>
  <c r="J146" i="1"/>
  <c r="I146" i="1" s="1"/>
  <c r="K146" i="1"/>
  <c r="H146" i="1" s="1"/>
  <c r="L146" i="1"/>
  <c r="G146" i="1" s="1"/>
  <c r="M146" i="1"/>
  <c r="F146" i="1" s="1"/>
  <c r="J147" i="1"/>
  <c r="I147" i="1" s="1"/>
  <c r="K147" i="1"/>
  <c r="H147" i="1" s="1"/>
  <c r="L147" i="1"/>
  <c r="G147" i="1" s="1"/>
  <c r="M147" i="1"/>
  <c r="F147" i="1" s="1"/>
  <c r="J150" i="1"/>
  <c r="I150" i="1" s="1"/>
  <c r="K150" i="1"/>
  <c r="H150" i="1" s="1"/>
  <c r="L150" i="1"/>
  <c r="G150" i="1" s="1"/>
  <c r="M150" i="1"/>
  <c r="F150" i="1" s="1"/>
  <c r="J151" i="1"/>
  <c r="I151" i="1" s="1"/>
  <c r="K151" i="1"/>
  <c r="H151" i="1" s="1"/>
  <c r="L151" i="1"/>
  <c r="G151" i="1" s="1"/>
  <c r="M151" i="1"/>
  <c r="F151" i="1" s="1"/>
  <c r="J154" i="1"/>
  <c r="I154" i="1" s="1"/>
  <c r="K154" i="1"/>
  <c r="H154" i="1" s="1"/>
  <c r="L154" i="1"/>
  <c r="G154" i="1" s="1"/>
  <c r="M154" i="1"/>
  <c r="F154" i="1" s="1"/>
  <c r="J155" i="1"/>
  <c r="I155" i="1" s="1"/>
  <c r="K155" i="1"/>
  <c r="H155" i="1" s="1"/>
  <c r="L155" i="1"/>
  <c r="G155" i="1" s="1"/>
  <c r="M155" i="1"/>
  <c r="F155" i="1" s="1"/>
  <c r="J158" i="1"/>
  <c r="I158" i="1" s="1"/>
  <c r="K158" i="1"/>
  <c r="H158" i="1" s="1"/>
  <c r="L158" i="1"/>
  <c r="G158" i="1" s="1"/>
  <c r="M158" i="1"/>
  <c r="F158" i="1" s="1"/>
  <c r="J159" i="1"/>
  <c r="I159" i="1" s="1"/>
  <c r="K159" i="1"/>
  <c r="H159" i="1" s="1"/>
  <c r="L159" i="1"/>
  <c r="G159" i="1" s="1"/>
  <c r="M159" i="1"/>
  <c r="F159" i="1" s="1"/>
  <c r="J162" i="1"/>
  <c r="I162" i="1" s="1"/>
  <c r="K162" i="1"/>
  <c r="H162" i="1" s="1"/>
  <c r="L162" i="1"/>
  <c r="G162" i="1" s="1"/>
  <c r="M162" i="1"/>
  <c r="F162" i="1" s="1"/>
  <c r="J163" i="1"/>
  <c r="I163" i="1" s="1"/>
  <c r="K163" i="1"/>
  <c r="H163" i="1" s="1"/>
  <c r="L163" i="1"/>
  <c r="G163" i="1" s="1"/>
  <c r="M163" i="1"/>
  <c r="F163" i="1" s="1"/>
  <c r="J166" i="1"/>
  <c r="I166" i="1" s="1"/>
  <c r="K166" i="1"/>
  <c r="H166" i="1" s="1"/>
  <c r="L166" i="1"/>
  <c r="G166" i="1" s="1"/>
  <c r="M166" i="1"/>
  <c r="F166" i="1" s="1"/>
  <c r="J167" i="1"/>
  <c r="I167" i="1" s="1"/>
  <c r="K167" i="1"/>
  <c r="H167" i="1" s="1"/>
  <c r="L167" i="1"/>
  <c r="G167" i="1" s="1"/>
  <c r="M167" i="1"/>
  <c r="F167" i="1" s="1"/>
  <c r="J170" i="1"/>
  <c r="I170" i="1" s="1"/>
  <c r="K170" i="1"/>
  <c r="H170" i="1" s="1"/>
  <c r="L170" i="1"/>
  <c r="G170" i="1" s="1"/>
  <c r="M170" i="1"/>
  <c r="F170" i="1" s="1"/>
  <c r="J171" i="1"/>
  <c r="I171" i="1" s="1"/>
  <c r="K171" i="1"/>
  <c r="H171" i="1" s="1"/>
  <c r="L171" i="1"/>
  <c r="G171" i="1" s="1"/>
  <c r="M171" i="1"/>
  <c r="F171" i="1" s="1"/>
  <c r="J174" i="1"/>
  <c r="I174" i="1" s="1"/>
  <c r="K174" i="1"/>
  <c r="H174" i="1" s="1"/>
  <c r="L174" i="1"/>
  <c r="G174" i="1" s="1"/>
  <c r="M174" i="1"/>
  <c r="F174" i="1" s="1"/>
  <c r="J175" i="1"/>
  <c r="I175" i="1" s="1"/>
  <c r="K175" i="1"/>
  <c r="H175" i="1" s="1"/>
  <c r="L175" i="1"/>
  <c r="G175" i="1" s="1"/>
  <c r="M175" i="1"/>
  <c r="F175" i="1" s="1"/>
  <c r="J178" i="1"/>
  <c r="I178" i="1" s="1"/>
  <c r="K178" i="1"/>
  <c r="H178" i="1" s="1"/>
  <c r="L178" i="1"/>
  <c r="G178" i="1" s="1"/>
  <c r="M178" i="1"/>
  <c r="F178" i="1" s="1"/>
  <c r="J179" i="1"/>
  <c r="I179" i="1" s="1"/>
  <c r="K179" i="1"/>
  <c r="H179" i="1" s="1"/>
  <c r="L179" i="1"/>
  <c r="G179" i="1" s="1"/>
  <c r="M179" i="1"/>
  <c r="F179" i="1" s="1"/>
  <c r="J180" i="1"/>
  <c r="I180" i="1" s="1"/>
  <c r="K180" i="1"/>
  <c r="H180" i="1" s="1"/>
  <c r="L180" i="1"/>
  <c r="G180" i="1" s="1"/>
  <c r="M180" i="1"/>
  <c r="F180" i="1" s="1"/>
  <c r="J181" i="1"/>
  <c r="I181" i="1" s="1"/>
  <c r="K181" i="1"/>
  <c r="H181" i="1" s="1"/>
  <c r="L181" i="1"/>
  <c r="G181" i="1" s="1"/>
  <c r="M181" i="1"/>
  <c r="F181" i="1" s="1"/>
  <c r="J182" i="1"/>
  <c r="I182" i="1" s="1"/>
  <c r="K182" i="1"/>
  <c r="H182" i="1" s="1"/>
  <c r="L182" i="1"/>
  <c r="G182" i="1" s="1"/>
  <c r="M182" i="1"/>
  <c r="F182" i="1" s="1"/>
  <c r="J183" i="1"/>
  <c r="I183" i="1" s="1"/>
  <c r="K183" i="1"/>
  <c r="H183" i="1" s="1"/>
  <c r="L183" i="1"/>
  <c r="G183" i="1" s="1"/>
  <c r="M183" i="1"/>
  <c r="F183" i="1" s="1"/>
  <c r="J184" i="1"/>
  <c r="I184" i="1" s="1"/>
  <c r="K184" i="1"/>
  <c r="H184" i="1" s="1"/>
  <c r="L184" i="1"/>
  <c r="G184" i="1" s="1"/>
  <c r="M184" i="1"/>
  <c r="F184" i="1" s="1"/>
  <c r="J185" i="1"/>
  <c r="I185" i="1" s="1"/>
  <c r="K185" i="1"/>
  <c r="H185" i="1" s="1"/>
  <c r="L185" i="1"/>
  <c r="G185" i="1" s="1"/>
  <c r="M185" i="1"/>
  <c r="F185" i="1" s="1"/>
  <c r="J188" i="1"/>
  <c r="I188" i="1" s="1"/>
  <c r="K188" i="1"/>
  <c r="H188" i="1" s="1"/>
  <c r="L188" i="1"/>
  <c r="G188" i="1" s="1"/>
  <c r="M188" i="1"/>
  <c r="F188" i="1" s="1"/>
  <c r="J189" i="1"/>
  <c r="I189" i="1" s="1"/>
  <c r="K189" i="1"/>
  <c r="H189" i="1" s="1"/>
  <c r="L189" i="1"/>
  <c r="G189" i="1" s="1"/>
  <c r="M189" i="1"/>
  <c r="F189" i="1" s="1"/>
  <c r="J190" i="1"/>
  <c r="I190" i="1" s="1"/>
  <c r="K190" i="1"/>
  <c r="H190" i="1" s="1"/>
  <c r="L190" i="1"/>
  <c r="G190" i="1" s="1"/>
  <c r="M190" i="1"/>
  <c r="F190" i="1" s="1"/>
  <c r="J191" i="1"/>
  <c r="I191" i="1" s="1"/>
  <c r="K191" i="1"/>
  <c r="H191" i="1" s="1"/>
  <c r="L191" i="1"/>
  <c r="G191" i="1" s="1"/>
  <c r="M191" i="1"/>
  <c r="F191" i="1" s="1"/>
  <c r="J192" i="1"/>
  <c r="I192" i="1" s="1"/>
  <c r="K192" i="1"/>
  <c r="H192" i="1" s="1"/>
  <c r="L192" i="1"/>
  <c r="G192" i="1" s="1"/>
  <c r="M192" i="1"/>
  <c r="F192" i="1" s="1"/>
  <c r="J193" i="1"/>
  <c r="I193" i="1" s="1"/>
  <c r="K193" i="1"/>
  <c r="H193" i="1" s="1"/>
  <c r="L193" i="1"/>
  <c r="G193" i="1" s="1"/>
  <c r="M193" i="1"/>
  <c r="F193" i="1" s="1"/>
  <c r="J194" i="1"/>
  <c r="I194" i="1" s="1"/>
  <c r="K194" i="1"/>
  <c r="H194" i="1" s="1"/>
  <c r="L194" i="1"/>
  <c r="G194" i="1" s="1"/>
  <c r="M194" i="1"/>
  <c r="F194" i="1" s="1"/>
  <c r="J195" i="1"/>
  <c r="I195" i="1" s="1"/>
  <c r="K195" i="1"/>
  <c r="H195" i="1" s="1"/>
  <c r="L195" i="1"/>
  <c r="G195" i="1" s="1"/>
  <c r="M195" i="1"/>
  <c r="F195" i="1" s="1"/>
  <c r="J198" i="1"/>
  <c r="I198" i="1" s="1"/>
  <c r="K198" i="1"/>
  <c r="H198" i="1" s="1"/>
  <c r="L198" i="1"/>
  <c r="G198" i="1" s="1"/>
  <c r="M198" i="1"/>
  <c r="F198" i="1" s="1"/>
  <c r="J199" i="1"/>
  <c r="I199" i="1" s="1"/>
  <c r="K199" i="1"/>
  <c r="H199" i="1" s="1"/>
  <c r="L199" i="1"/>
  <c r="G199" i="1" s="1"/>
  <c r="M199" i="1"/>
  <c r="F199" i="1" s="1"/>
  <c r="J200" i="1"/>
  <c r="I200" i="1" s="1"/>
  <c r="K200" i="1"/>
  <c r="H200" i="1" s="1"/>
  <c r="L200" i="1"/>
  <c r="G200" i="1" s="1"/>
  <c r="M200" i="1"/>
  <c r="F200" i="1" s="1"/>
  <c r="J201" i="1"/>
  <c r="I201" i="1" s="1"/>
  <c r="K201" i="1"/>
  <c r="H201" i="1" s="1"/>
  <c r="L201" i="1"/>
  <c r="G201" i="1" s="1"/>
  <c r="M201" i="1"/>
  <c r="F201" i="1" s="1"/>
  <c r="J202" i="1"/>
  <c r="I202" i="1" s="1"/>
  <c r="K202" i="1"/>
  <c r="H202" i="1" s="1"/>
  <c r="L202" i="1"/>
  <c r="G202" i="1" s="1"/>
  <c r="M202" i="1"/>
  <c r="F202" i="1" s="1"/>
  <c r="J203" i="1"/>
  <c r="I203" i="1" s="1"/>
  <c r="K203" i="1"/>
  <c r="H203" i="1" s="1"/>
  <c r="L203" i="1"/>
  <c r="G203" i="1" s="1"/>
  <c r="M203" i="1"/>
  <c r="F203" i="1" s="1"/>
  <c r="J204" i="1"/>
  <c r="I204" i="1" s="1"/>
  <c r="K204" i="1"/>
  <c r="H204" i="1" s="1"/>
  <c r="L204" i="1"/>
  <c r="G204" i="1" s="1"/>
  <c r="M204" i="1"/>
  <c r="F204" i="1" s="1"/>
  <c r="J205" i="1"/>
  <c r="I205" i="1" s="1"/>
  <c r="K205" i="1"/>
  <c r="H205" i="1" s="1"/>
  <c r="L205" i="1"/>
  <c r="G205" i="1" s="1"/>
  <c r="M205" i="1"/>
  <c r="F205" i="1" s="1"/>
  <c r="J208" i="1"/>
  <c r="I208" i="1" s="1"/>
  <c r="K208" i="1"/>
  <c r="H208" i="1" s="1"/>
  <c r="L208" i="1"/>
  <c r="G208" i="1" s="1"/>
  <c r="M208" i="1"/>
  <c r="F208" i="1" s="1"/>
  <c r="J209" i="1"/>
  <c r="I209" i="1" s="1"/>
  <c r="K209" i="1"/>
  <c r="H209" i="1" s="1"/>
  <c r="L209" i="1"/>
  <c r="G209" i="1" s="1"/>
  <c r="M209" i="1"/>
  <c r="F209" i="1" s="1"/>
  <c r="J210" i="1"/>
  <c r="I210" i="1" s="1"/>
  <c r="K210" i="1"/>
  <c r="H210" i="1" s="1"/>
  <c r="L210" i="1"/>
  <c r="G210" i="1" s="1"/>
  <c r="M210" i="1"/>
  <c r="F210" i="1" s="1"/>
  <c r="J211" i="1"/>
  <c r="I211" i="1" s="1"/>
  <c r="K211" i="1"/>
  <c r="H211" i="1" s="1"/>
  <c r="L211" i="1"/>
  <c r="G211" i="1" s="1"/>
  <c r="M211" i="1"/>
  <c r="F211" i="1" s="1"/>
  <c r="J212" i="1"/>
  <c r="I212" i="1" s="1"/>
  <c r="K212" i="1"/>
  <c r="H212" i="1" s="1"/>
  <c r="L212" i="1"/>
  <c r="G212" i="1" s="1"/>
  <c r="M212" i="1"/>
  <c r="F212" i="1" s="1"/>
  <c r="J213" i="1"/>
  <c r="I213" i="1" s="1"/>
  <c r="K213" i="1"/>
  <c r="H213" i="1" s="1"/>
  <c r="L213" i="1"/>
  <c r="G213" i="1" s="1"/>
  <c r="M213" i="1"/>
  <c r="F213" i="1" s="1"/>
  <c r="J214" i="1"/>
  <c r="I214" i="1" s="1"/>
  <c r="K214" i="1"/>
  <c r="H214" i="1" s="1"/>
  <c r="L214" i="1"/>
  <c r="G214" i="1" s="1"/>
  <c r="M214" i="1"/>
  <c r="F214" i="1" s="1"/>
  <c r="J215" i="1"/>
  <c r="I215" i="1" s="1"/>
  <c r="K215" i="1"/>
  <c r="H215" i="1" s="1"/>
  <c r="L215" i="1"/>
  <c r="G215" i="1" s="1"/>
  <c r="M215" i="1"/>
  <c r="F215" i="1" s="1"/>
  <c r="J218" i="1"/>
  <c r="I218" i="1" s="1"/>
  <c r="K218" i="1"/>
  <c r="H218" i="1" s="1"/>
  <c r="L218" i="1"/>
  <c r="G218" i="1" s="1"/>
  <c r="M218" i="1"/>
  <c r="F218" i="1" s="1"/>
  <c r="J219" i="1"/>
  <c r="I219" i="1" s="1"/>
  <c r="K219" i="1"/>
  <c r="H219" i="1" s="1"/>
  <c r="L219" i="1"/>
  <c r="G219" i="1" s="1"/>
  <c r="M219" i="1"/>
  <c r="F219" i="1" s="1"/>
  <c r="J220" i="1"/>
  <c r="I220" i="1" s="1"/>
  <c r="K220" i="1"/>
  <c r="H220" i="1" s="1"/>
  <c r="L220" i="1"/>
  <c r="G220" i="1" s="1"/>
  <c r="M220" i="1"/>
  <c r="F220" i="1" s="1"/>
  <c r="J221" i="1"/>
  <c r="I221" i="1" s="1"/>
  <c r="K221" i="1"/>
  <c r="H221" i="1" s="1"/>
  <c r="L221" i="1"/>
  <c r="G221" i="1" s="1"/>
  <c r="M221" i="1"/>
  <c r="F221" i="1" s="1"/>
  <c r="J222" i="1"/>
  <c r="I222" i="1" s="1"/>
  <c r="K222" i="1"/>
  <c r="H222" i="1" s="1"/>
  <c r="L222" i="1"/>
  <c r="G222" i="1" s="1"/>
  <c r="M222" i="1"/>
  <c r="F222" i="1" s="1"/>
  <c r="J223" i="1"/>
  <c r="I223" i="1" s="1"/>
  <c r="K223" i="1"/>
  <c r="H223" i="1" s="1"/>
  <c r="L223" i="1"/>
  <c r="G223" i="1" s="1"/>
  <c r="M223" i="1"/>
  <c r="F223" i="1" s="1"/>
  <c r="J224" i="1"/>
  <c r="I224" i="1" s="1"/>
  <c r="K224" i="1"/>
  <c r="H224" i="1" s="1"/>
  <c r="L224" i="1"/>
  <c r="G224" i="1" s="1"/>
  <c r="M224" i="1"/>
  <c r="F224" i="1" s="1"/>
  <c r="J225" i="1"/>
  <c r="I225" i="1" s="1"/>
  <c r="K225" i="1"/>
  <c r="H225" i="1" s="1"/>
  <c r="L225" i="1"/>
  <c r="G225" i="1" s="1"/>
  <c r="M225" i="1"/>
  <c r="F225" i="1" s="1"/>
  <c r="J228" i="1"/>
  <c r="I228" i="1" s="1"/>
  <c r="K228" i="1"/>
  <c r="H228" i="1" s="1"/>
  <c r="L228" i="1"/>
  <c r="G228" i="1" s="1"/>
  <c r="M228" i="1"/>
  <c r="F228" i="1" s="1"/>
  <c r="J229" i="1"/>
  <c r="I229" i="1" s="1"/>
  <c r="K229" i="1"/>
  <c r="H229" i="1" s="1"/>
  <c r="L229" i="1"/>
  <c r="G229" i="1" s="1"/>
  <c r="M229" i="1"/>
  <c r="F229" i="1" s="1"/>
  <c r="J55" i="1"/>
  <c r="I55" i="1" s="1"/>
  <c r="K55" i="1"/>
  <c r="H55" i="1" s="1"/>
  <c r="L55" i="1"/>
  <c r="G55" i="1" s="1"/>
  <c r="M55" i="1"/>
  <c r="F55" i="1" s="1"/>
  <c r="J58" i="1"/>
  <c r="I58" i="1" s="1"/>
  <c r="K58" i="1"/>
  <c r="H58" i="1" s="1"/>
  <c r="L58" i="1"/>
  <c r="G58" i="1" s="1"/>
  <c r="M58" i="1"/>
  <c r="F58" i="1" s="1"/>
  <c r="J59" i="1"/>
  <c r="I59" i="1" s="1"/>
  <c r="K59" i="1"/>
  <c r="H59" i="1" s="1"/>
  <c r="L59" i="1"/>
  <c r="G59" i="1" s="1"/>
  <c r="M59" i="1"/>
  <c r="F59" i="1" s="1"/>
  <c r="L4" i="1"/>
  <c r="G4" i="1" s="1"/>
  <c r="L5" i="1"/>
  <c r="G5" i="1" s="1"/>
  <c r="L9" i="1"/>
  <c r="G9" i="1" s="1"/>
  <c r="L10" i="1"/>
  <c r="G10" i="1" s="1"/>
  <c r="L11" i="1"/>
  <c r="G11" i="1" s="1"/>
  <c r="L15" i="1"/>
  <c r="G15" i="1" s="1"/>
  <c r="L16" i="1"/>
  <c r="G16" i="1" s="1"/>
  <c r="L17" i="1"/>
  <c r="G17" i="1" s="1"/>
  <c r="L21" i="1"/>
  <c r="G21" i="1" s="1"/>
  <c r="L22" i="1"/>
  <c r="G22" i="1" s="1"/>
  <c r="L23" i="1"/>
  <c r="G23" i="1" s="1"/>
  <c r="L27" i="1"/>
  <c r="G27" i="1" s="1"/>
  <c r="L28" i="1"/>
  <c r="G28" i="1" s="1"/>
  <c r="L29" i="1"/>
  <c r="G29" i="1" s="1"/>
  <c r="L31" i="1"/>
  <c r="G31" i="1" s="1"/>
  <c r="L34" i="1"/>
  <c r="G34" i="1" s="1"/>
  <c r="L35" i="1"/>
  <c r="G35" i="1" s="1"/>
  <c r="L38" i="1"/>
  <c r="G38" i="1" s="1"/>
  <c r="L39" i="1"/>
  <c r="G39" i="1" s="1"/>
  <c r="L42" i="1"/>
  <c r="G42" i="1" s="1"/>
  <c r="L43" i="1"/>
  <c r="G43" i="1" s="1"/>
  <c r="L46" i="1"/>
  <c r="G46" i="1" s="1"/>
  <c r="L47" i="1"/>
  <c r="G47" i="1" s="1"/>
  <c r="L50" i="1"/>
  <c r="G50" i="1" s="1"/>
  <c r="L51" i="1"/>
  <c r="G51" i="1" s="1"/>
  <c r="L54" i="1"/>
  <c r="G54" i="1" s="1"/>
  <c r="K4" i="1"/>
  <c r="H4" i="1" s="1"/>
  <c r="K5" i="1"/>
  <c r="H5" i="1" s="1"/>
  <c r="K9" i="1"/>
  <c r="H9" i="1" s="1"/>
  <c r="K10" i="1"/>
  <c r="H10" i="1" s="1"/>
  <c r="K11" i="1"/>
  <c r="H11" i="1" s="1"/>
  <c r="K15" i="1"/>
  <c r="H15" i="1" s="1"/>
  <c r="K16" i="1"/>
  <c r="H16" i="1" s="1"/>
  <c r="K17" i="1"/>
  <c r="H17" i="1" s="1"/>
  <c r="K21" i="1"/>
  <c r="H21" i="1" s="1"/>
  <c r="K22" i="1"/>
  <c r="H22" i="1" s="1"/>
  <c r="K23" i="1"/>
  <c r="H23" i="1" s="1"/>
  <c r="K27" i="1"/>
  <c r="H27" i="1" s="1"/>
  <c r="K28" i="1"/>
  <c r="H28" i="1" s="1"/>
  <c r="K29" i="1"/>
  <c r="H29" i="1" s="1"/>
  <c r="K31" i="1"/>
  <c r="H31" i="1" s="1"/>
  <c r="H34" i="1"/>
  <c r="K35" i="1"/>
  <c r="H35" i="1" s="1"/>
  <c r="K38" i="1"/>
  <c r="H38" i="1" s="1"/>
  <c r="K39" i="1"/>
  <c r="H39" i="1" s="1"/>
  <c r="K42" i="1"/>
  <c r="H42" i="1" s="1"/>
  <c r="K43" i="1"/>
  <c r="H43" i="1" s="1"/>
  <c r="K46" i="1"/>
  <c r="H46" i="1" s="1"/>
  <c r="K47" i="1"/>
  <c r="H47" i="1" s="1"/>
  <c r="K50" i="1"/>
  <c r="H50" i="1" s="1"/>
  <c r="K51" i="1"/>
  <c r="H51" i="1" s="1"/>
  <c r="K54" i="1"/>
  <c r="H54" i="1" s="1"/>
  <c r="I31" i="1"/>
  <c r="M31" i="1"/>
  <c r="F31" i="1" s="1"/>
  <c r="J34" i="1"/>
  <c r="I34" i="1" s="1"/>
  <c r="M34" i="1"/>
  <c r="F34" i="1" s="1"/>
  <c r="J35" i="1"/>
  <c r="I35" i="1" s="1"/>
  <c r="M35" i="1"/>
  <c r="F35" i="1" s="1"/>
  <c r="J38" i="1"/>
  <c r="I38" i="1" s="1"/>
  <c r="M38" i="1"/>
  <c r="F38" i="1" s="1"/>
  <c r="J39" i="1"/>
  <c r="I39" i="1" s="1"/>
  <c r="M39" i="1"/>
  <c r="F39" i="1" s="1"/>
  <c r="J42" i="1"/>
  <c r="I42" i="1" s="1"/>
  <c r="M42" i="1"/>
  <c r="F42" i="1" s="1"/>
  <c r="J43" i="1"/>
  <c r="I43" i="1" s="1"/>
  <c r="M43" i="1"/>
  <c r="F43" i="1" s="1"/>
  <c r="J46" i="1"/>
  <c r="I46" i="1" s="1"/>
  <c r="M46" i="1"/>
  <c r="F46" i="1" s="1"/>
  <c r="J47" i="1"/>
  <c r="I47" i="1" s="1"/>
  <c r="M47" i="1"/>
  <c r="F47" i="1" s="1"/>
  <c r="J50" i="1"/>
  <c r="I50" i="1" s="1"/>
  <c r="M50" i="1"/>
  <c r="F50" i="1" s="1"/>
  <c r="J51" i="1"/>
  <c r="I51" i="1" s="1"/>
  <c r="M51" i="1"/>
  <c r="F51" i="1" s="1"/>
  <c r="J54" i="1"/>
  <c r="I54" i="1" s="1"/>
  <c r="M54" i="1"/>
  <c r="F54" i="1" s="1"/>
  <c r="J29" i="1"/>
  <c r="I29" i="1" s="1"/>
  <c r="M29" i="1"/>
  <c r="F29" i="1" s="1"/>
  <c r="J10" i="1"/>
  <c r="I10" i="1" s="1"/>
  <c r="M10" i="1"/>
  <c r="F10" i="1" s="1"/>
  <c r="J11" i="1"/>
  <c r="I11" i="1" s="1"/>
  <c r="M11" i="1"/>
  <c r="F11" i="1" s="1"/>
  <c r="J15" i="1"/>
  <c r="I15" i="1" s="1"/>
  <c r="M15" i="1"/>
  <c r="F15" i="1" s="1"/>
  <c r="J16" i="1"/>
  <c r="I16" i="1" s="1"/>
  <c r="M16" i="1"/>
  <c r="F16" i="1" s="1"/>
  <c r="J17" i="1"/>
  <c r="I17" i="1" s="1"/>
  <c r="M17" i="1"/>
  <c r="F17" i="1" s="1"/>
  <c r="J21" i="1"/>
  <c r="I21" i="1" s="1"/>
  <c r="M21" i="1"/>
  <c r="F21" i="1" s="1"/>
  <c r="J22" i="1"/>
  <c r="I22" i="1" s="1"/>
  <c r="M22" i="1"/>
  <c r="F22" i="1" s="1"/>
  <c r="J23" i="1"/>
  <c r="I23" i="1" s="1"/>
  <c r="M23" i="1"/>
  <c r="F23" i="1" s="1"/>
  <c r="J27" i="1"/>
  <c r="I27" i="1" s="1"/>
  <c r="M27" i="1"/>
  <c r="F27" i="1" s="1"/>
  <c r="J28" i="1"/>
  <c r="I28" i="1" s="1"/>
  <c r="M28" i="1"/>
  <c r="F28" i="1" s="1"/>
  <c r="J9" i="1"/>
  <c r="I9" i="1" s="1"/>
  <c r="M9" i="1"/>
  <c r="F9" i="1" s="1"/>
  <c r="J5" i="1"/>
  <c r="I5" i="1" s="1"/>
  <c r="M5" i="1"/>
  <c r="F5" i="1" s="1"/>
  <c r="M4" i="1"/>
  <c r="F4" i="1" s="1"/>
  <c r="J4" i="1"/>
  <c r="I4" i="1" s="1"/>
  <c r="A80" i="2"/>
  <c r="D58" i="3"/>
  <c r="F58" i="3"/>
  <c r="R25" i="3"/>
  <c r="R24" i="3"/>
  <c r="R23" i="3"/>
  <c r="R22" i="3"/>
  <c r="R21" i="3"/>
  <c r="BJ10" i="4"/>
  <c r="F57" i="3" s="1"/>
  <c r="L14" i="3"/>
  <c r="A78" i="2"/>
  <c r="A77" i="2"/>
  <c r="A1" i="6" l="1"/>
  <c r="M3" i="5"/>
  <c r="B2" i="5"/>
  <c r="A71" i="2"/>
  <c r="BF6" i="4" l="1"/>
  <c r="A61" i="2"/>
  <c r="A65" i="2"/>
  <c r="A66" i="2"/>
  <c r="A67" i="2"/>
  <c r="A68" i="2"/>
  <c r="A63" i="2"/>
  <c r="A62" i="2"/>
  <c r="A48" i="2"/>
  <c r="A39" i="2"/>
  <c r="A40" i="2"/>
  <c r="A42" i="2"/>
  <c r="A43" i="2"/>
  <c r="A45" i="2"/>
  <c r="A46" i="2"/>
  <c r="A49" i="2"/>
  <c r="A34" i="2"/>
  <c r="A36" i="2"/>
  <c r="A37" i="2"/>
  <c r="M37" i="4"/>
  <c r="Q7" i="3" s="1"/>
  <c r="A33" i="2"/>
  <c r="A23" i="2"/>
  <c r="A25" i="2"/>
  <c r="A26" i="2"/>
  <c r="A27" i="2"/>
  <c r="M33" i="4"/>
  <c r="Q6" i="3" s="1"/>
  <c r="P33" i="4"/>
  <c r="A15" i="2"/>
  <c r="A17" i="2"/>
  <c r="A18" i="2"/>
  <c r="A19" i="2"/>
  <c r="A21" i="2"/>
  <c r="P24" i="4" l="1"/>
  <c r="M29" i="4"/>
  <c r="Q5" i="3" s="1"/>
  <c r="AS25" i="4"/>
  <c r="Q9" i="3" s="1"/>
  <c r="AS29" i="4"/>
  <c r="Q10" i="3" s="1"/>
  <c r="AJ4" i="4"/>
  <c r="P21" i="4"/>
  <c r="P28" i="4"/>
  <c r="AV33" i="4"/>
  <c r="AV25" i="4"/>
  <c r="AJ7" i="4"/>
  <c r="X4" i="4"/>
  <c r="M21" i="4"/>
  <c r="Q3" i="3" s="1"/>
  <c r="P37" i="4"/>
  <c r="AS21" i="4"/>
  <c r="Q8" i="3" s="1"/>
  <c r="AS33" i="4"/>
  <c r="Q11" i="3" s="1"/>
  <c r="AV36" i="4"/>
  <c r="AJ6" i="4"/>
  <c r="AS37" i="4"/>
  <c r="Q12" i="3" s="1"/>
  <c r="AI4" i="4"/>
  <c r="AV21" i="4"/>
  <c r="P20" i="4"/>
  <c r="P29" i="4"/>
  <c r="AV37" i="4"/>
  <c r="AV29" i="4"/>
  <c r="X2" i="4"/>
  <c r="AJ5" i="4"/>
  <c r="AV28" i="4"/>
  <c r="AV32" i="4"/>
  <c r="AV20" i="4"/>
  <c r="AV24" i="4"/>
  <c r="P32" i="4"/>
  <c r="P36" i="4"/>
  <c r="M25" i="4"/>
  <c r="Q4" i="3" s="1"/>
  <c r="A22" i="2"/>
  <c r="P2" i="3" l="1"/>
  <c r="B2" i="6" s="1"/>
  <c r="P25" i="4"/>
  <c r="A99" i="2"/>
  <c r="D63" i="3" s="1"/>
  <c r="C3" i="6" s="1"/>
  <c r="A98" i="2"/>
  <c r="A100" i="2"/>
  <c r="H63" i="3" s="1"/>
  <c r="F3" i="6" s="1"/>
  <c r="A97" i="2"/>
  <c r="F63" i="3" s="1"/>
  <c r="E3" i="6" s="1"/>
  <c r="A129" i="2"/>
  <c r="E63" i="3" l="1"/>
  <c r="E3" i="5"/>
  <c r="C3" i="5"/>
  <c r="F3" i="5"/>
  <c r="A126" i="2"/>
  <c r="A127" i="2"/>
  <c r="X348" i="1" l="1"/>
  <c r="X344" i="1"/>
  <c r="X347" i="1"/>
  <c r="X346" i="1"/>
  <c r="X345" i="1"/>
  <c r="X349" i="1"/>
  <c r="D3" i="5"/>
  <c r="D3" i="6"/>
  <c r="X2" i="1"/>
  <c r="X23" i="1"/>
  <c r="X110" i="1"/>
  <c r="X197" i="1"/>
  <c r="X300" i="1"/>
  <c r="X31" i="1"/>
  <c r="X111" i="1"/>
  <c r="X204" i="1"/>
  <c r="X301" i="1"/>
  <c r="X39" i="1"/>
  <c r="X119" i="1"/>
  <c r="X205" i="1"/>
  <c r="X308" i="1"/>
  <c r="X62" i="1"/>
  <c r="X142" i="1"/>
  <c r="X237" i="1"/>
  <c r="X340" i="1"/>
  <c r="X63" i="1"/>
  <c r="X143" i="1"/>
  <c r="X244" i="1"/>
  <c r="X362" i="1"/>
  <c r="X71" i="1"/>
  <c r="X178" i="1"/>
  <c r="X260" i="1"/>
  <c r="X363" i="1"/>
  <c r="X182" i="1"/>
  <c r="X370" i="1"/>
  <c r="X72" i="1"/>
  <c r="X261" i="1"/>
  <c r="X15" i="1"/>
  <c r="X95" i="1"/>
  <c r="X196" i="1"/>
  <c r="X293" i="1"/>
  <c r="X40" i="1"/>
  <c r="X87" i="1"/>
  <c r="X120" i="1"/>
  <c r="X186" i="1"/>
  <c r="X212" i="1"/>
  <c r="X268" i="1"/>
  <c r="X324" i="1"/>
  <c r="X371" i="1"/>
  <c r="X8" i="1"/>
  <c r="X45" i="1"/>
  <c r="X88" i="1"/>
  <c r="X125" i="1"/>
  <c r="X187" i="1"/>
  <c r="X228" i="1"/>
  <c r="X269" i="1"/>
  <c r="X325" i="1"/>
  <c r="X13" i="1"/>
  <c r="X46" i="1"/>
  <c r="X93" i="1"/>
  <c r="X136" i="1"/>
  <c r="X188" i="1"/>
  <c r="X229" i="1"/>
  <c r="X276" i="1"/>
  <c r="X332" i="1"/>
  <c r="X14" i="1"/>
  <c r="X61" i="1"/>
  <c r="X94" i="1"/>
  <c r="X141" i="1"/>
  <c r="X189" i="1"/>
  <c r="X236" i="1"/>
  <c r="X292" i="1"/>
  <c r="X333" i="1"/>
  <c r="X378" i="1"/>
  <c r="X24" i="1"/>
  <c r="X47" i="1"/>
  <c r="X77" i="1"/>
  <c r="X103" i="1"/>
  <c r="X126" i="1"/>
  <c r="X179" i="1"/>
  <c r="X190" i="1"/>
  <c r="X213" i="1"/>
  <c r="X245" i="1"/>
  <c r="X277" i="1"/>
  <c r="X309" i="1"/>
  <c r="X341" i="1"/>
  <c r="X379" i="1"/>
  <c r="X29" i="1"/>
  <c r="X55" i="1"/>
  <c r="X78" i="1"/>
  <c r="X104" i="1"/>
  <c r="X127" i="1"/>
  <c r="X180" i="1"/>
  <c r="X194" i="1"/>
  <c r="X220" i="1"/>
  <c r="X252" i="1"/>
  <c r="X284" i="1"/>
  <c r="X316" i="1"/>
  <c r="X354" i="1"/>
  <c r="X386" i="1"/>
  <c r="X7" i="1"/>
  <c r="X30" i="1"/>
  <c r="X56" i="1"/>
  <c r="X79" i="1"/>
  <c r="X109" i="1"/>
  <c r="X135" i="1"/>
  <c r="X181" i="1"/>
  <c r="X195" i="1"/>
  <c r="X221" i="1"/>
  <c r="X253" i="1"/>
  <c r="X285" i="1"/>
  <c r="X317" i="1"/>
  <c r="X355" i="1"/>
  <c r="X387" i="1"/>
  <c r="X198" i="1"/>
  <c r="X206" i="1"/>
  <c r="X214" i="1"/>
  <c r="X222" i="1"/>
  <c r="X230" i="1"/>
  <c r="X238" i="1"/>
  <c r="X246" i="1"/>
  <c r="X254" i="1"/>
  <c r="X262" i="1"/>
  <c r="X270" i="1"/>
  <c r="X278" i="1"/>
  <c r="X286" i="1"/>
  <c r="X294" i="1"/>
  <c r="X302" i="1"/>
  <c r="X310" i="1"/>
  <c r="X318" i="1"/>
  <c r="X326" i="1"/>
  <c r="X334" i="1"/>
  <c r="X342" i="1"/>
  <c r="X356" i="1"/>
  <c r="X364" i="1"/>
  <c r="X372" i="1"/>
  <c r="X380" i="1"/>
  <c r="X388" i="1"/>
  <c r="X16" i="1"/>
  <c r="X64" i="1"/>
  <c r="X96" i="1"/>
  <c r="X128" i="1"/>
  <c r="X183" i="1"/>
  <c r="X199" i="1"/>
  <c r="X215" i="1"/>
  <c r="X231" i="1"/>
  <c r="X247" i="1"/>
  <c r="X263" i="1"/>
  <c r="X279" i="1"/>
  <c r="X295" i="1"/>
  <c r="X311" i="1"/>
  <c r="X335" i="1"/>
  <c r="X381" i="1"/>
  <c r="X21" i="1"/>
  <c r="X133" i="1"/>
  <c r="X192" i="1"/>
  <c r="X216" i="1"/>
  <c r="X232" i="1"/>
  <c r="X248" i="1"/>
  <c r="X272" i="1"/>
  <c r="X288" i="1"/>
  <c r="X312" i="1"/>
  <c r="X328" i="1"/>
  <c r="X350" i="1"/>
  <c r="X366" i="1"/>
  <c r="X374" i="1"/>
  <c r="X390" i="1"/>
  <c r="X32" i="1"/>
  <c r="X48" i="1"/>
  <c r="X80" i="1"/>
  <c r="X112" i="1"/>
  <c r="X144" i="1"/>
  <c r="X191" i="1"/>
  <c r="X207" i="1"/>
  <c r="X223" i="1"/>
  <c r="X239" i="1"/>
  <c r="X255" i="1"/>
  <c r="X271" i="1"/>
  <c r="X287" i="1"/>
  <c r="X303" i="1"/>
  <c r="X319" i="1"/>
  <c r="X327" i="1"/>
  <c r="X343" i="1"/>
  <c r="X357" i="1"/>
  <c r="X365" i="1"/>
  <c r="X373" i="1"/>
  <c r="X389" i="1"/>
  <c r="X5" i="1"/>
  <c r="X37" i="1"/>
  <c r="X53" i="1"/>
  <c r="X69" i="1"/>
  <c r="X85" i="1"/>
  <c r="X101" i="1"/>
  <c r="X117" i="1"/>
  <c r="X176" i="1"/>
  <c r="X184" i="1"/>
  <c r="X200" i="1"/>
  <c r="X208" i="1"/>
  <c r="X224" i="1"/>
  <c r="X240" i="1"/>
  <c r="X256" i="1"/>
  <c r="X264" i="1"/>
  <c r="X280" i="1"/>
  <c r="X296" i="1"/>
  <c r="X304" i="1"/>
  <c r="X320" i="1"/>
  <c r="X336" i="1"/>
  <c r="X358" i="1"/>
  <c r="X382" i="1"/>
  <c r="X6" i="1"/>
  <c r="X22" i="1"/>
  <c r="X38" i="1"/>
  <c r="X54" i="1"/>
  <c r="X70" i="1"/>
  <c r="X86" i="1"/>
  <c r="X102" i="1"/>
  <c r="X118" i="1"/>
  <c r="X134" i="1"/>
  <c r="X177" i="1"/>
  <c r="X185" i="1"/>
  <c r="X193" i="1"/>
  <c r="X201" i="1"/>
  <c r="X209" i="1"/>
  <c r="X217" i="1"/>
  <c r="X225" i="1"/>
  <c r="X233" i="1"/>
  <c r="X241" i="1"/>
  <c r="X249" i="1"/>
  <c r="X257" i="1"/>
  <c r="X265" i="1"/>
  <c r="X273" i="1"/>
  <c r="X281" i="1"/>
  <c r="X289" i="1"/>
  <c r="X297" i="1"/>
  <c r="X305" i="1"/>
  <c r="X313" i="1"/>
  <c r="X321" i="1"/>
  <c r="X329" i="1"/>
  <c r="X337" i="1"/>
  <c r="X351" i="1"/>
  <c r="X359" i="1"/>
  <c r="X367" i="1"/>
  <c r="X375" i="1"/>
  <c r="X383" i="1"/>
  <c r="X391" i="1"/>
  <c r="X202" i="1"/>
  <c r="X210" i="1"/>
  <c r="X218" i="1"/>
  <c r="X226" i="1"/>
  <c r="X234" i="1"/>
  <c r="X242" i="1"/>
  <c r="X250" i="1"/>
  <c r="X258" i="1"/>
  <c r="X266" i="1"/>
  <c r="X274" i="1"/>
  <c r="X282" i="1"/>
  <c r="X290" i="1"/>
  <c r="X298" i="1"/>
  <c r="X306" i="1"/>
  <c r="X314" i="1"/>
  <c r="X322" i="1"/>
  <c r="X330" i="1"/>
  <c r="X338" i="1"/>
  <c r="X352" i="1"/>
  <c r="X360" i="1"/>
  <c r="X368" i="1"/>
  <c r="X376" i="1"/>
  <c r="X384" i="1"/>
  <c r="X392" i="1"/>
  <c r="X203" i="1"/>
  <c r="X211" i="1"/>
  <c r="X219" i="1"/>
  <c r="X227" i="1"/>
  <c r="X235" i="1"/>
  <c r="X243" i="1"/>
  <c r="X251" i="1"/>
  <c r="X259" i="1"/>
  <c r="X267" i="1"/>
  <c r="X275" i="1"/>
  <c r="X283" i="1"/>
  <c r="X291" i="1"/>
  <c r="X299" i="1"/>
  <c r="X307" i="1"/>
  <c r="X315" i="1"/>
  <c r="X323" i="1"/>
  <c r="X331" i="1"/>
  <c r="X339" i="1"/>
  <c r="X353" i="1"/>
  <c r="X361" i="1"/>
  <c r="X369" i="1"/>
  <c r="X377" i="1"/>
  <c r="X385" i="1"/>
  <c r="X393" i="1"/>
  <c r="X10" i="1"/>
  <c r="X18" i="1"/>
  <c r="X26" i="1"/>
  <c r="X34" i="1"/>
  <c r="X42" i="1"/>
  <c r="X50" i="1"/>
  <c r="X58" i="1"/>
  <c r="X66" i="1"/>
  <c r="X74" i="1"/>
  <c r="X82" i="1"/>
  <c r="X90" i="1"/>
  <c r="X106" i="1"/>
  <c r="X114" i="1"/>
  <c r="X122" i="1"/>
  <c r="X130" i="1"/>
  <c r="X138" i="1"/>
  <c r="X146" i="1"/>
  <c r="X3" i="1"/>
  <c r="X11" i="1"/>
  <c r="X19" i="1"/>
  <c r="X27" i="1"/>
  <c r="X35" i="1"/>
  <c r="X43" i="1"/>
  <c r="X51" i="1"/>
  <c r="X59" i="1"/>
  <c r="X67" i="1"/>
  <c r="X75" i="1"/>
  <c r="X83" i="1"/>
  <c r="X91" i="1"/>
  <c r="X99" i="1"/>
  <c r="X107" i="1"/>
  <c r="X115" i="1"/>
  <c r="X123" i="1"/>
  <c r="X131" i="1"/>
  <c r="X139" i="1"/>
  <c r="X147" i="1"/>
  <c r="X4" i="1"/>
  <c r="X12" i="1"/>
  <c r="X20" i="1"/>
  <c r="X28" i="1"/>
  <c r="X36" i="1"/>
  <c r="X44" i="1"/>
  <c r="X52" i="1"/>
  <c r="X60" i="1"/>
  <c r="X68" i="1"/>
  <c r="X76" i="1"/>
  <c r="X84" i="1"/>
  <c r="X92" i="1"/>
  <c r="X100" i="1"/>
  <c r="X108" i="1"/>
  <c r="X116" i="1"/>
  <c r="X124" i="1"/>
  <c r="X132" i="1"/>
  <c r="X140" i="1"/>
  <c r="X9" i="1"/>
  <c r="X17" i="1"/>
  <c r="X25" i="1"/>
  <c r="X33" i="1"/>
  <c r="X41" i="1"/>
  <c r="X49" i="1"/>
  <c r="X57" i="1"/>
  <c r="X65" i="1"/>
  <c r="X73" i="1"/>
  <c r="X81" i="1"/>
  <c r="X89" i="1"/>
  <c r="X97" i="1"/>
  <c r="X105" i="1"/>
  <c r="X113" i="1"/>
  <c r="X121" i="1"/>
  <c r="X129" i="1"/>
  <c r="X137" i="1"/>
  <c r="X145" i="1"/>
  <c r="X98" i="1"/>
  <c r="A128" i="2"/>
  <c r="A70" i="2"/>
  <c r="O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AK325" i="1"/>
  <c r="O325" i="1" s="1"/>
  <c r="AK324" i="1"/>
  <c r="O324" i="1" s="1"/>
  <c r="AK323" i="1"/>
  <c r="O323" i="1" s="1"/>
  <c r="AK322" i="1"/>
  <c r="O322" i="1" s="1"/>
  <c r="AK321" i="1"/>
  <c r="O321" i="1" s="1"/>
  <c r="AK320" i="1"/>
  <c r="O320" i="1" s="1"/>
  <c r="AK319" i="1"/>
  <c r="O319" i="1" s="1"/>
  <c r="AK318" i="1"/>
  <c r="O318" i="1" s="1"/>
  <c r="AK317" i="1"/>
  <c r="O317" i="1" s="1"/>
  <c r="AK316" i="1"/>
  <c r="O316" i="1" s="1"/>
  <c r="AK315" i="1"/>
  <c r="O315" i="1" s="1"/>
  <c r="AK314" i="1"/>
  <c r="O314" i="1" s="1"/>
  <c r="AK313" i="1"/>
  <c r="O313" i="1" s="1"/>
  <c r="AK312" i="1"/>
  <c r="O312" i="1" s="1"/>
  <c r="AK311" i="1"/>
  <c r="O311" i="1" s="1"/>
  <c r="AK310" i="1"/>
  <c r="O310" i="1" s="1"/>
  <c r="AK309" i="1"/>
  <c r="O309" i="1" s="1"/>
  <c r="AK308" i="1"/>
  <c r="O308" i="1" s="1"/>
  <c r="AK307" i="1"/>
  <c r="O307" i="1" s="1"/>
  <c r="AK306" i="1"/>
  <c r="O306" i="1" s="1"/>
  <c r="AK305" i="1"/>
  <c r="O305" i="1" s="1"/>
  <c r="AK304" i="1"/>
  <c r="O304" i="1" s="1"/>
  <c r="AK303" i="1"/>
  <c r="O303" i="1" s="1"/>
  <c r="AK302" i="1"/>
  <c r="O302" i="1" s="1"/>
  <c r="AK301" i="1"/>
  <c r="O301" i="1" s="1"/>
  <c r="AK300" i="1"/>
  <c r="O300" i="1" s="1"/>
  <c r="AK299" i="1"/>
  <c r="O299" i="1" s="1"/>
  <c r="AK298" i="1"/>
  <c r="O298" i="1" s="1"/>
  <c r="AK297" i="1"/>
  <c r="O297" i="1" s="1"/>
  <c r="AK296" i="1"/>
  <c r="O296" i="1" s="1"/>
  <c r="AK295" i="1"/>
  <c r="O295" i="1" s="1"/>
  <c r="AK294" i="1"/>
  <c r="O294" i="1" s="1"/>
  <c r="AK293" i="1"/>
  <c r="O293" i="1" s="1"/>
  <c r="AK292" i="1"/>
  <c r="O292" i="1" s="1"/>
  <c r="AK291" i="1"/>
  <c r="O291" i="1" s="1"/>
  <c r="AK290" i="1"/>
  <c r="O290" i="1" s="1"/>
  <c r="AK289" i="1"/>
  <c r="O289" i="1" s="1"/>
  <c r="AK288" i="1"/>
  <c r="O288" i="1" s="1"/>
  <c r="AK287" i="1"/>
  <c r="O287" i="1" s="1"/>
  <c r="AK286" i="1"/>
  <c r="O286" i="1" s="1"/>
  <c r="AK285" i="1"/>
  <c r="O285" i="1" s="1"/>
  <c r="AK284" i="1"/>
  <c r="O284" i="1" s="1"/>
  <c r="AK283" i="1"/>
  <c r="O283" i="1" s="1"/>
  <c r="AK282" i="1"/>
  <c r="O282" i="1" s="1"/>
  <c r="AK281" i="1"/>
  <c r="O281" i="1" s="1"/>
  <c r="AK280" i="1"/>
  <c r="O280" i="1" s="1"/>
  <c r="AK279" i="1"/>
  <c r="O279" i="1" s="1"/>
  <c r="AK278" i="1"/>
  <c r="O278" i="1" s="1"/>
  <c r="AK277" i="1"/>
  <c r="O277" i="1" s="1"/>
  <c r="AK276" i="1"/>
  <c r="O276" i="1" s="1"/>
  <c r="AK275" i="1"/>
  <c r="O275" i="1" s="1"/>
  <c r="AK274" i="1"/>
  <c r="O274" i="1" s="1"/>
  <c r="AK273" i="1"/>
  <c r="O273" i="1" s="1"/>
  <c r="AK272" i="1"/>
  <c r="O272" i="1" s="1"/>
  <c r="AK271" i="1"/>
  <c r="O271" i="1" s="1"/>
  <c r="AK270" i="1"/>
  <c r="O270" i="1" s="1"/>
  <c r="AK269" i="1"/>
  <c r="O269" i="1" s="1"/>
  <c r="AK268" i="1"/>
  <c r="O268" i="1" s="1"/>
  <c r="AK267" i="1"/>
  <c r="O267" i="1" s="1"/>
  <c r="AK266" i="1"/>
  <c r="O266" i="1" s="1"/>
  <c r="AK265" i="1"/>
  <c r="O265" i="1" s="1"/>
  <c r="AK264" i="1"/>
  <c r="O264" i="1" s="1"/>
  <c r="AK263" i="1"/>
  <c r="O263" i="1" s="1"/>
  <c r="AK262" i="1"/>
  <c r="O262" i="1" s="1"/>
  <c r="AK261" i="1"/>
  <c r="O261" i="1" s="1"/>
  <c r="AK260" i="1"/>
  <c r="O260" i="1" s="1"/>
  <c r="AK259" i="1"/>
  <c r="O259" i="1" s="1"/>
  <c r="AK258" i="1"/>
  <c r="O258" i="1" s="1"/>
  <c r="AK257" i="1"/>
  <c r="O257" i="1" s="1"/>
  <c r="AK256" i="1"/>
  <c r="O256" i="1" s="1"/>
  <c r="AK255" i="1"/>
  <c r="O255" i="1" s="1"/>
  <c r="AK254" i="1"/>
  <c r="O254" i="1" s="1"/>
  <c r="AK253" i="1"/>
  <c r="O253" i="1" s="1"/>
  <c r="AK252" i="1"/>
  <c r="O252" i="1" s="1"/>
  <c r="AK251" i="1"/>
  <c r="O251" i="1" s="1"/>
  <c r="AK250" i="1"/>
  <c r="O250" i="1" s="1"/>
  <c r="AK249" i="1"/>
  <c r="O249" i="1" s="1"/>
  <c r="AK248" i="1"/>
  <c r="O248" i="1" s="1"/>
  <c r="AK247" i="1"/>
  <c r="O247" i="1" s="1"/>
  <c r="AK246" i="1"/>
  <c r="O246" i="1" s="1"/>
  <c r="AK245" i="1"/>
  <c r="O245" i="1" s="1"/>
  <c r="AK244" i="1"/>
  <c r="O244" i="1" s="1"/>
  <c r="AK243" i="1"/>
  <c r="O243" i="1" s="1"/>
  <c r="AK242" i="1"/>
  <c r="O242" i="1" s="1"/>
  <c r="AK241" i="1"/>
  <c r="O241" i="1" s="1"/>
  <c r="AK240" i="1"/>
  <c r="O240" i="1" s="1"/>
  <c r="AK239" i="1"/>
  <c r="O239" i="1" s="1"/>
  <c r="AK238" i="1"/>
  <c r="O238" i="1" s="1"/>
  <c r="AK237" i="1"/>
  <c r="O237" i="1" s="1"/>
  <c r="AK236" i="1"/>
  <c r="O236" i="1" s="1"/>
  <c r="AK235" i="1"/>
  <c r="O235" i="1" s="1"/>
  <c r="AK234" i="1"/>
  <c r="O234" i="1" s="1"/>
  <c r="AK233" i="1"/>
  <c r="O233" i="1" s="1"/>
  <c r="AK232" i="1"/>
  <c r="O232" i="1" s="1"/>
  <c r="AK231" i="1"/>
  <c r="O231" i="1" s="1"/>
  <c r="AK230" i="1"/>
  <c r="O230" i="1" s="1"/>
  <c r="AK229" i="1"/>
  <c r="O229" i="1" s="1"/>
  <c r="AK228" i="1"/>
  <c r="O228" i="1" s="1"/>
  <c r="AK227" i="1"/>
  <c r="O227" i="1" s="1"/>
  <c r="AK226" i="1"/>
  <c r="O226" i="1" s="1"/>
  <c r="AK225" i="1"/>
  <c r="O225" i="1" s="1"/>
  <c r="AK224" i="1"/>
  <c r="O224" i="1" s="1"/>
  <c r="AK223" i="1"/>
  <c r="O223" i="1" s="1"/>
  <c r="AK222" i="1"/>
  <c r="O222" i="1" s="1"/>
  <c r="AK221" i="1"/>
  <c r="O221" i="1" s="1"/>
  <c r="AK220" i="1"/>
  <c r="O220" i="1" s="1"/>
  <c r="AK219" i="1"/>
  <c r="O219" i="1" s="1"/>
  <c r="AK218" i="1"/>
  <c r="O218" i="1" s="1"/>
  <c r="AK217" i="1"/>
  <c r="O217" i="1" s="1"/>
  <c r="AK216" i="1"/>
  <c r="O216" i="1" s="1"/>
  <c r="AK215" i="1"/>
  <c r="O215" i="1" s="1"/>
  <c r="AK214" i="1"/>
  <c r="O214" i="1" s="1"/>
  <c r="AK213" i="1"/>
  <c r="O213" i="1" s="1"/>
  <c r="AK212" i="1"/>
  <c r="O212" i="1" s="1"/>
  <c r="AK211" i="1"/>
  <c r="O211" i="1" s="1"/>
  <c r="AK210" i="1"/>
  <c r="O210" i="1" s="1"/>
  <c r="AK209" i="1"/>
  <c r="O209" i="1" s="1"/>
  <c r="AK208" i="1"/>
  <c r="O208" i="1" s="1"/>
  <c r="AK207" i="1"/>
  <c r="O207" i="1" s="1"/>
  <c r="AK206" i="1"/>
  <c r="O206" i="1" s="1"/>
  <c r="AK205" i="1"/>
  <c r="O205" i="1" s="1"/>
  <c r="AK204" i="1"/>
  <c r="O204" i="1" s="1"/>
  <c r="AK203" i="1"/>
  <c r="O203" i="1" s="1"/>
  <c r="AK202" i="1"/>
  <c r="O202" i="1" s="1"/>
  <c r="AK201" i="1"/>
  <c r="O201" i="1" s="1"/>
  <c r="AK200" i="1"/>
  <c r="O200" i="1" s="1"/>
  <c r="AK199" i="1"/>
  <c r="O199" i="1" s="1"/>
  <c r="AK198" i="1"/>
  <c r="O198" i="1" s="1"/>
  <c r="AK197" i="1"/>
  <c r="O197" i="1" s="1"/>
  <c r="AK196" i="1"/>
  <c r="O196" i="1" s="1"/>
  <c r="AK195" i="1"/>
  <c r="O195" i="1" s="1"/>
  <c r="AK194" i="1"/>
  <c r="O194" i="1" s="1"/>
  <c r="AK193" i="1"/>
  <c r="O193" i="1" s="1"/>
  <c r="AK192" i="1"/>
  <c r="O192" i="1" s="1"/>
  <c r="AK191" i="1"/>
  <c r="O191" i="1" s="1"/>
  <c r="AK190" i="1"/>
  <c r="O190" i="1" s="1"/>
  <c r="AK189" i="1"/>
  <c r="O189" i="1" s="1"/>
  <c r="AK188" i="1"/>
  <c r="O188" i="1" s="1"/>
  <c r="AK187" i="1"/>
  <c r="O187" i="1" s="1"/>
  <c r="AK186" i="1"/>
  <c r="O186" i="1" s="1"/>
  <c r="AK185" i="1"/>
  <c r="O185" i="1" s="1"/>
  <c r="AK184" i="1"/>
  <c r="O184" i="1" s="1"/>
  <c r="AK183" i="1"/>
  <c r="O183" i="1" s="1"/>
  <c r="AK182" i="1"/>
  <c r="O182" i="1" s="1"/>
  <c r="AK181" i="1"/>
  <c r="O181" i="1" s="1"/>
  <c r="AK180" i="1"/>
  <c r="O180" i="1" s="1"/>
  <c r="AK179" i="1"/>
  <c r="O179" i="1" s="1"/>
  <c r="AK178" i="1"/>
  <c r="O178" i="1" s="1"/>
  <c r="AK177" i="1"/>
  <c r="O177" i="1" s="1"/>
  <c r="AK176" i="1"/>
  <c r="O176" i="1" s="1"/>
  <c r="AK175" i="1"/>
  <c r="O175" i="1" s="1"/>
  <c r="AK174" i="1"/>
  <c r="O174" i="1" s="1"/>
  <c r="AK173" i="1"/>
  <c r="O173" i="1" s="1"/>
  <c r="AK172" i="1"/>
  <c r="O172" i="1" s="1"/>
  <c r="AK171" i="1"/>
  <c r="O171" i="1" s="1"/>
  <c r="AK170" i="1"/>
  <c r="O170" i="1" s="1"/>
  <c r="AK169" i="1"/>
  <c r="O169" i="1" s="1"/>
  <c r="AK168" i="1"/>
  <c r="O168" i="1" s="1"/>
  <c r="AK167" i="1"/>
  <c r="O167" i="1" s="1"/>
  <c r="AK166" i="1"/>
  <c r="O166" i="1" s="1"/>
  <c r="AK165" i="1"/>
  <c r="O165" i="1" s="1"/>
  <c r="AK164" i="1"/>
  <c r="O164" i="1" s="1"/>
  <c r="AK163" i="1"/>
  <c r="O163" i="1" s="1"/>
  <c r="AK162" i="1"/>
  <c r="O162" i="1" s="1"/>
  <c r="AK161" i="1"/>
  <c r="O161" i="1" s="1"/>
  <c r="AK160" i="1"/>
  <c r="O160" i="1" s="1"/>
  <c r="AK159" i="1"/>
  <c r="O159" i="1" s="1"/>
  <c r="AK158" i="1"/>
  <c r="O158" i="1" s="1"/>
  <c r="AK157" i="1"/>
  <c r="O157" i="1" s="1"/>
  <c r="AK156" i="1"/>
  <c r="O156" i="1" s="1"/>
  <c r="AK155" i="1"/>
  <c r="O155" i="1" s="1"/>
  <c r="AK154" i="1"/>
  <c r="O154" i="1" s="1"/>
  <c r="AK153" i="1"/>
  <c r="O153" i="1" s="1"/>
  <c r="AK152" i="1"/>
  <c r="O152" i="1" s="1"/>
  <c r="AK151" i="1"/>
  <c r="O151" i="1" s="1"/>
  <c r="AK150" i="1"/>
  <c r="O150" i="1" s="1"/>
  <c r="AK149" i="1"/>
  <c r="O149" i="1" s="1"/>
  <c r="AK148" i="1"/>
  <c r="O148" i="1" s="1"/>
  <c r="AK147" i="1"/>
  <c r="O147" i="1" s="1"/>
  <c r="AK146" i="1"/>
  <c r="O146" i="1" s="1"/>
  <c r="AK145" i="1"/>
  <c r="O145" i="1" s="1"/>
  <c r="AK144" i="1"/>
  <c r="O144" i="1" s="1"/>
  <c r="AK143" i="1"/>
  <c r="O143" i="1" s="1"/>
  <c r="AK142" i="1"/>
  <c r="O142" i="1" s="1"/>
  <c r="AK141" i="1"/>
  <c r="O141" i="1" s="1"/>
  <c r="AK140" i="1"/>
  <c r="O140" i="1" s="1"/>
  <c r="AK139" i="1"/>
  <c r="O139" i="1" s="1"/>
  <c r="AK138" i="1"/>
  <c r="O138" i="1" s="1"/>
  <c r="AK137" i="1"/>
  <c r="O137" i="1" s="1"/>
  <c r="AK136" i="1"/>
  <c r="O136" i="1" s="1"/>
  <c r="AK135" i="1"/>
  <c r="O135" i="1" s="1"/>
  <c r="AK134" i="1"/>
  <c r="O134" i="1" s="1"/>
  <c r="AK133" i="1"/>
  <c r="O133" i="1" s="1"/>
  <c r="AK132" i="1"/>
  <c r="O132" i="1" s="1"/>
  <c r="AK131" i="1"/>
  <c r="O131" i="1" s="1"/>
  <c r="AK130" i="1"/>
  <c r="O130" i="1" s="1"/>
  <c r="AK129" i="1"/>
  <c r="O129" i="1" s="1"/>
  <c r="AK128" i="1"/>
  <c r="O128" i="1" s="1"/>
  <c r="AK127" i="1"/>
  <c r="O127" i="1" s="1"/>
  <c r="AK126" i="1"/>
  <c r="O126" i="1" s="1"/>
  <c r="AK125" i="1"/>
  <c r="O125" i="1" s="1"/>
  <c r="AK124" i="1"/>
  <c r="O124" i="1" s="1"/>
  <c r="AK123" i="1"/>
  <c r="O123" i="1" s="1"/>
  <c r="AK122" i="1"/>
  <c r="O122" i="1" s="1"/>
  <c r="AK121" i="1"/>
  <c r="O121" i="1" s="1"/>
  <c r="AK120" i="1"/>
  <c r="O120" i="1" s="1"/>
  <c r="AK119" i="1"/>
  <c r="O119" i="1" s="1"/>
  <c r="AK118" i="1"/>
  <c r="O118" i="1" s="1"/>
  <c r="AK117" i="1"/>
  <c r="O117" i="1" s="1"/>
  <c r="AK116" i="1"/>
  <c r="O116" i="1" s="1"/>
  <c r="AK115" i="1"/>
  <c r="O115" i="1" s="1"/>
  <c r="AK114" i="1"/>
  <c r="O114" i="1" s="1"/>
  <c r="AK113" i="1"/>
  <c r="O113" i="1" s="1"/>
  <c r="AK112" i="1"/>
  <c r="O112" i="1" s="1"/>
  <c r="AK111" i="1"/>
  <c r="O111" i="1" s="1"/>
  <c r="AK110" i="1"/>
  <c r="O110" i="1" s="1"/>
  <c r="AK109" i="1"/>
  <c r="O109" i="1" s="1"/>
  <c r="AK108" i="1"/>
  <c r="O108" i="1" s="1"/>
  <c r="AK107" i="1"/>
  <c r="O107" i="1" s="1"/>
  <c r="AK106" i="1"/>
  <c r="O106" i="1" s="1"/>
  <c r="AK105" i="1"/>
  <c r="O105" i="1" s="1"/>
  <c r="AK104" i="1"/>
  <c r="O104" i="1" s="1"/>
  <c r="AK103" i="1"/>
  <c r="O103" i="1" s="1"/>
  <c r="AK102" i="1"/>
  <c r="O102" i="1" s="1"/>
  <c r="AK101" i="1"/>
  <c r="O101" i="1" s="1"/>
  <c r="AK100" i="1"/>
  <c r="O100" i="1" s="1"/>
  <c r="AK99" i="1"/>
  <c r="O99" i="1" s="1"/>
  <c r="AK98" i="1"/>
  <c r="O98" i="1" s="1"/>
  <c r="AK97" i="1"/>
  <c r="O97" i="1" s="1"/>
  <c r="AK96" i="1"/>
  <c r="O96" i="1" s="1"/>
  <c r="AK95" i="1"/>
  <c r="O95" i="1" s="1"/>
  <c r="AK94" i="1"/>
  <c r="O94" i="1" s="1"/>
  <c r="AK93" i="1"/>
  <c r="O93" i="1" s="1"/>
  <c r="AK92" i="1"/>
  <c r="O92" i="1" s="1"/>
  <c r="AK91" i="1"/>
  <c r="O91" i="1" s="1"/>
  <c r="AK90" i="1"/>
  <c r="O90" i="1" s="1"/>
  <c r="AK89" i="1"/>
  <c r="O89" i="1" s="1"/>
  <c r="AK88" i="1"/>
  <c r="O88" i="1" s="1"/>
  <c r="AK87" i="1"/>
  <c r="O87" i="1" s="1"/>
  <c r="AK86" i="1"/>
  <c r="O86" i="1" s="1"/>
  <c r="AK85" i="1"/>
  <c r="O85" i="1" s="1"/>
  <c r="AK84" i="1"/>
  <c r="O84" i="1" s="1"/>
  <c r="AK83" i="1"/>
  <c r="O83" i="1" s="1"/>
  <c r="AK82" i="1"/>
  <c r="O82" i="1" s="1"/>
  <c r="AK81" i="1"/>
  <c r="O81" i="1" s="1"/>
  <c r="AK80" i="1"/>
  <c r="O80" i="1" s="1"/>
  <c r="AK79" i="1"/>
  <c r="O79" i="1" s="1"/>
  <c r="AK78" i="1"/>
  <c r="O78" i="1" s="1"/>
  <c r="AK77" i="1"/>
  <c r="O77" i="1" s="1"/>
  <c r="AK76" i="1"/>
  <c r="O76" i="1" s="1"/>
  <c r="AK75" i="1"/>
  <c r="O75" i="1" s="1"/>
  <c r="AK74" i="1"/>
  <c r="O74" i="1" s="1"/>
  <c r="AK73" i="1"/>
  <c r="O73" i="1" s="1"/>
  <c r="AK72" i="1"/>
  <c r="O72" i="1" s="1"/>
  <c r="AK71" i="1"/>
  <c r="O71" i="1" s="1"/>
  <c r="AK70" i="1"/>
  <c r="O70" i="1" s="1"/>
  <c r="AK69" i="1"/>
  <c r="O69" i="1" s="1"/>
  <c r="AK68" i="1"/>
  <c r="O68" i="1" s="1"/>
  <c r="AK67" i="1"/>
  <c r="O67" i="1" s="1"/>
  <c r="AK66" i="1"/>
  <c r="O66" i="1" s="1"/>
  <c r="AK65" i="1"/>
  <c r="O65" i="1" s="1"/>
  <c r="AK64" i="1"/>
  <c r="O64" i="1" s="1"/>
  <c r="AK63" i="1"/>
  <c r="O63" i="1" s="1"/>
  <c r="AK62" i="1"/>
  <c r="O62" i="1" s="1"/>
  <c r="AK61" i="1"/>
  <c r="O61" i="1" s="1"/>
  <c r="AK60" i="1"/>
  <c r="O60" i="1" s="1"/>
  <c r="AK59" i="1"/>
  <c r="O59" i="1" s="1"/>
  <c r="AK58" i="1"/>
  <c r="O58" i="1" s="1"/>
  <c r="AK57" i="1"/>
  <c r="O57" i="1" s="1"/>
  <c r="AK56" i="1"/>
  <c r="O56" i="1" s="1"/>
  <c r="AK55" i="1"/>
  <c r="O55" i="1" s="1"/>
  <c r="AK54" i="1"/>
  <c r="O54" i="1" s="1"/>
  <c r="AK53" i="1"/>
  <c r="O53" i="1" s="1"/>
  <c r="AK52" i="1"/>
  <c r="O52" i="1" s="1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A140" i="2"/>
  <c r="B7" i="3" s="1"/>
  <c r="A141" i="2"/>
  <c r="B8" i="3" s="1"/>
  <c r="A142" i="2"/>
  <c r="B9" i="3" s="1"/>
  <c r="A143" i="2"/>
  <c r="B10" i="3" s="1"/>
  <c r="A144" i="2"/>
  <c r="B11" i="3" s="1"/>
  <c r="A145" i="2"/>
  <c r="B12" i="3" s="1"/>
  <c r="A146" i="2"/>
  <c r="B13" i="3" s="1"/>
  <c r="A147" i="2"/>
  <c r="B14" i="3" s="1"/>
  <c r="A148" i="2"/>
  <c r="B15" i="3" s="1"/>
  <c r="A149" i="2"/>
  <c r="B16" i="3" s="1"/>
  <c r="A150" i="2"/>
  <c r="B17" i="3" s="1"/>
  <c r="A151" i="2"/>
  <c r="B18" i="3" s="1"/>
  <c r="A152" i="2"/>
  <c r="B19" i="3" s="1"/>
  <c r="A153" i="2"/>
  <c r="B20" i="3" s="1"/>
  <c r="A154" i="2"/>
  <c r="B21" i="3" s="1"/>
  <c r="A155" i="2"/>
  <c r="B22" i="3" s="1"/>
  <c r="A156" i="2"/>
  <c r="B23" i="3" s="1"/>
  <c r="B24" i="3"/>
  <c r="A158" i="2"/>
  <c r="B25" i="3" s="1"/>
  <c r="A7" i="2"/>
  <c r="A10" i="2"/>
  <c r="A8" i="2"/>
  <c r="A11" i="2"/>
  <c r="A12" i="2"/>
  <c r="A13" i="2"/>
  <c r="A14" i="2"/>
  <c r="M9" i="4"/>
  <c r="A6" i="2"/>
  <c r="A9" i="2"/>
  <c r="A139" i="2"/>
  <c r="B6" i="3" s="1"/>
  <c r="A75" i="2"/>
  <c r="A72" i="2"/>
  <c r="A73" i="2"/>
  <c r="A76" i="2"/>
  <c r="C57" i="3"/>
  <c r="AQ6" i="4" l="1"/>
  <c r="AQ3" i="4"/>
  <c r="BF5" i="4"/>
  <c r="AQ8" i="4"/>
  <c r="AQ5" i="4"/>
  <c r="L63" i="3"/>
  <c r="J3" i="6" s="1"/>
  <c r="AQ4" i="4"/>
  <c r="J63" i="3"/>
  <c r="G3" i="6" s="1"/>
  <c r="D57" i="3"/>
  <c r="AW10" i="4" l="1"/>
  <c r="I58" i="3"/>
  <c r="G3" i="5"/>
  <c r="J3" i="5"/>
  <c r="A137" i="2"/>
  <c r="A59" i="2"/>
  <c r="A119" i="2"/>
  <c r="AH246" i="1" s="1"/>
  <c r="A120" i="2"/>
  <c r="AH247" i="1" s="1"/>
  <c r="A121" i="2"/>
  <c r="AH248" i="1" s="1"/>
  <c r="A58" i="2"/>
  <c r="T246" i="1" s="1"/>
  <c r="A130" i="2"/>
  <c r="A125" i="2"/>
  <c r="A57" i="2"/>
  <c r="T176" i="1" s="1"/>
  <c r="A118" i="2"/>
  <c r="AH149" i="1" s="1"/>
  <c r="A136" i="2"/>
  <c r="A117" i="2"/>
  <c r="AH148" i="1" s="1"/>
  <c r="A56" i="2"/>
  <c r="T148" i="1" s="1"/>
  <c r="A55" i="2"/>
  <c r="T123" i="1" s="1"/>
  <c r="A135" i="2"/>
  <c r="A132" i="2"/>
  <c r="A54" i="2"/>
  <c r="A122" i="2"/>
  <c r="AH92" i="1" s="1"/>
  <c r="A53" i="2"/>
  <c r="T92" i="1" s="1"/>
  <c r="A116" i="2"/>
  <c r="AH53" i="1" s="1"/>
  <c r="A138" i="2"/>
  <c r="AI52" i="1" s="1"/>
  <c r="A115" i="2"/>
  <c r="AH52" i="1" s="1"/>
  <c r="A124" i="2"/>
  <c r="AG56" i="1" s="1"/>
  <c r="A123" i="2"/>
  <c r="AG52" i="1" s="1"/>
  <c r="A102" i="2"/>
  <c r="AF52" i="1" s="1"/>
  <c r="A69" i="2"/>
  <c r="A52" i="2"/>
  <c r="T52" i="1" s="1"/>
  <c r="A134" i="2"/>
  <c r="AI31" i="1" s="1"/>
  <c r="A111" i="2"/>
  <c r="A112" i="2"/>
  <c r="A113" i="2"/>
  <c r="A114" i="2"/>
  <c r="AH375" i="1" s="1"/>
  <c r="AG48" i="1"/>
  <c r="A104" i="2"/>
  <c r="A105" i="2"/>
  <c r="AG12" i="1" s="1"/>
  <c r="A106" i="2"/>
  <c r="AG18" i="1" s="1"/>
  <c r="A107" i="2"/>
  <c r="AG24" i="1" s="1"/>
  <c r="A108" i="2"/>
  <c r="AG44" i="1" s="1"/>
  <c r="A96" i="2"/>
  <c r="A101" i="2"/>
  <c r="A103" i="2"/>
  <c r="A110" i="2"/>
  <c r="A60" i="2"/>
  <c r="A64" i="2"/>
  <c r="A51" i="2"/>
  <c r="T30" i="1" s="1"/>
  <c r="A131" i="2"/>
  <c r="W4" i="1" s="1"/>
  <c r="A133" i="2"/>
  <c r="AI4" i="1" s="1"/>
  <c r="A50" i="2"/>
  <c r="BB13" i="4" l="1"/>
  <c r="AQ14" i="4" s="1"/>
  <c r="R347" i="1"/>
  <c r="D347" i="1" s="1"/>
  <c r="R344" i="1"/>
  <c r="D344" i="1" s="1"/>
  <c r="R345" i="1"/>
  <c r="D345" i="1" s="1"/>
  <c r="R346" i="1"/>
  <c r="D346" i="1" s="1"/>
  <c r="R348" i="1"/>
  <c r="D348" i="1" s="1"/>
  <c r="R349" i="1"/>
  <c r="D349" i="1" s="1"/>
  <c r="AH347" i="1"/>
  <c r="AH344" i="1"/>
  <c r="AH349" i="1"/>
  <c r="AH346" i="1"/>
  <c r="Y345" i="1"/>
  <c r="Y349" i="1"/>
  <c r="Y347" i="1"/>
  <c r="Y346" i="1"/>
  <c r="Y348" i="1"/>
  <c r="Y344" i="1"/>
  <c r="V346" i="1"/>
  <c r="M346" i="1" s="1"/>
  <c r="F346" i="1" s="1"/>
  <c r="U345" i="1"/>
  <c r="V345" i="1"/>
  <c r="M345" i="1" s="1"/>
  <c r="F345" i="1" s="1"/>
  <c r="U344" i="1"/>
  <c r="U346" i="1"/>
  <c r="V344" i="1"/>
  <c r="M344" i="1" s="1"/>
  <c r="F344" i="1" s="1"/>
  <c r="AF349" i="1"/>
  <c r="AF347" i="1"/>
  <c r="AF346" i="1"/>
  <c r="AF348" i="1"/>
  <c r="AF344" i="1"/>
  <c r="AF345" i="1"/>
  <c r="W348" i="1"/>
  <c r="N348" i="1" s="1"/>
  <c r="E348" i="1" s="1"/>
  <c r="W349" i="1"/>
  <c r="N349" i="1" s="1"/>
  <c r="E349" i="1" s="1"/>
  <c r="W347" i="1"/>
  <c r="N347" i="1" s="1"/>
  <c r="E347" i="1" s="1"/>
  <c r="W346" i="1"/>
  <c r="N346" i="1" s="1"/>
  <c r="E346" i="1" s="1"/>
  <c r="W344" i="1"/>
  <c r="N344" i="1" s="1"/>
  <c r="E344" i="1" s="1"/>
  <c r="W345" i="1"/>
  <c r="N345" i="1" s="1"/>
  <c r="E345" i="1" s="1"/>
  <c r="AH45" i="1"/>
  <c r="AH348" i="1"/>
  <c r="AH345" i="1"/>
  <c r="AI348" i="1"/>
  <c r="AI349" i="1"/>
  <c r="AI347" i="1"/>
  <c r="T345" i="1"/>
  <c r="T344" i="1"/>
  <c r="S345" i="1"/>
  <c r="S344" i="1"/>
  <c r="T346" i="1"/>
  <c r="S346" i="1"/>
  <c r="S348" i="1"/>
  <c r="S347" i="1"/>
  <c r="T348" i="1"/>
  <c r="T347" i="1"/>
  <c r="T349" i="1"/>
  <c r="S349" i="1"/>
  <c r="R89" i="1"/>
  <c r="D89" i="1" s="1"/>
  <c r="R269" i="1"/>
  <c r="D269" i="1" s="1"/>
  <c r="R308" i="1"/>
  <c r="D308" i="1" s="1"/>
  <c r="R109" i="1"/>
  <c r="D109" i="1" s="1"/>
  <c r="R230" i="1"/>
  <c r="D230" i="1" s="1"/>
  <c r="R388" i="1"/>
  <c r="D388" i="1" s="1"/>
  <c r="R370" i="1"/>
  <c r="D370" i="1" s="1"/>
  <c r="R252" i="1"/>
  <c r="D252" i="1" s="1"/>
  <c r="R100" i="1"/>
  <c r="D100" i="1" s="1"/>
  <c r="R353" i="1"/>
  <c r="D353" i="1" s="1"/>
  <c r="R60" i="1"/>
  <c r="D60" i="1" s="1"/>
  <c r="R104" i="1"/>
  <c r="D104" i="1" s="1"/>
  <c r="R49" i="1"/>
  <c r="D49" i="1" s="1"/>
  <c r="R291" i="1"/>
  <c r="D291" i="1" s="1"/>
  <c r="R246" i="1"/>
  <c r="D246" i="1" s="1"/>
  <c r="R260" i="1"/>
  <c r="D260" i="1" s="1"/>
  <c r="R116" i="1"/>
  <c r="D116" i="1" s="1"/>
  <c r="R68" i="1"/>
  <c r="D68" i="1" s="1"/>
  <c r="R266" i="1"/>
  <c r="D266" i="1" s="1"/>
  <c r="R323" i="1"/>
  <c r="D323" i="1" s="1"/>
  <c r="R214" i="1"/>
  <c r="D214" i="1" s="1"/>
  <c r="R209" i="1"/>
  <c r="D209" i="1" s="1"/>
  <c r="R210" i="1"/>
  <c r="D210" i="1" s="1"/>
  <c r="R172" i="1"/>
  <c r="D172" i="1" s="1"/>
  <c r="R310" i="1"/>
  <c r="D310" i="1" s="1"/>
  <c r="R315" i="1"/>
  <c r="D315" i="1" s="1"/>
  <c r="R123" i="1"/>
  <c r="D123" i="1" s="1"/>
  <c r="R218" i="1"/>
  <c r="D218" i="1" s="1"/>
  <c r="R48" i="1"/>
  <c r="D48" i="1" s="1"/>
  <c r="R24" i="1"/>
  <c r="D24" i="1" s="1"/>
  <c r="R159" i="1"/>
  <c r="D159" i="1" s="1"/>
  <c r="R120" i="1"/>
  <c r="D120" i="1" s="1"/>
  <c r="R199" i="1"/>
  <c r="D199" i="1" s="1"/>
  <c r="R191" i="1"/>
  <c r="D191" i="1" s="1"/>
  <c r="R101" i="1"/>
  <c r="D101" i="1" s="1"/>
  <c r="R303" i="1"/>
  <c r="D303" i="1" s="1"/>
  <c r="R234" i="1"/>
  <c r="D234" i="1" s="1"/>
  <c r="R17" i="1"/>
  <c r="D17" i="1" s="1"/>
  <c r="R312" i="1"/>
  <c r="D312" i="1" s="1"/>
  <c r="R290" i="1"/>
  <c r="D290" i="1" s="1"/>
  <c r="R5" i="1"/>
  <c r="D5" i="1" s="1"/>
  <c r="R184" i="1"/>
  <c r="D184" i="1" s="1"/>
  <c r="R369" i="1"/>
  <c r="D369" i="1" s="1"/>
  <c r="R160" i="1"/>
  <c r="D160" i="1" s="1"/>
  <c r="R322" i="1"/>
  <c r="D322" i="1" s="1"/>
  <c r="R128" i="1"/>
  <c r="D128" i="1" s="1"/>
  <c r="R200" i="1"/>
  <c r="D200" i="1" s="1"/>
  <c r="R334" i="1"/>
  <c r="D334" i="1" s="1"/>
  <c r="R11" i="1"/>
  <c r="D11" i="1" s="1"/>
  <c r="R247" i="1"/>
  <c r="D247" i="1" s="1"/>
  <c r="R387" i="1"/>
  <c r="D387" i="1" s="1"/>
  <c r="R294" i="1"/>
  <c r="D294" i="1" s="1"/>
  <c r="R350" i="1"/>
  <c r="D350" i="1" s="1"/>
  <c r="R96" i="1"/>
  <c r="D96" i="1" s="1"/>
  <c r="R385" i="1"/>
  <c r="D385" i="1" s="1"/>
  <c r="R281" i="1"/>
  <c r="D281" i="1" s="1"/>
  <c r="R19" i="1"/>
  <c r="D19" i="1" s="1"/>
  <c r="R389" i="1"/>
  <c r="D389" i="1" s="1"/>
  <c r="R364" i="1"/>
  <c r="D364" i="1" s="1"/>
  <c r="R67" i="1"/>
  <c r="D67" i="1" s="1"/>
  <c r="R213" i="1"/>
  <c r="D213" i="1" s="1"/>
  <c r="R118" i="1"/>
  <c r="D118" i="1" s="1"/>
  <c r="R61" i="1"/>
  <c r="D61" i="1" s="1"/>
  <c r="R221" i="1"/>
  <c r="D221" i="1" s="1"/>
  <c r="R39" i="1"/>
  <c r="D39" i="1" s="1"/>
  <c r="R208" i="1"/>
  <c r="D208" i="1" s="1"/>
  <c r="R157" i="1"/>
  <c r="D157" i="1" s="1"/>
  <c r="R72" i="1"/>
  <c r="D72" i="1" s="1"/>
  <c r="R327" i="1"/>
  <c r="D327" i="1" s="1"/>
  <c r="R196" i="1"/>
  <c r="D196" i="1" s="1"/>
  <c r="R352" i="1"/>
  <c r="D352" i="1" s="1"/>
  <c r="R192" i="1"/>
  <c r="D192" i="1" s="1"/>
  <c r="R141" i="1"/>
  <c r="D141" i="1" s="1"/>
  <c r="R56" i="1"/>
  <c r="D56" i="1" s="1"/>
  <c r="R319" i="1"/>
  <c r="D319" i="1" s="1"/>
  <c r="R188" i="1"/>
  <c r="D188" i="1" s="1"/>
  <c r="R338" i="1"/>
  <c r="D338" i="1" s="1"/>
  <c r="R297" i="1"/>
  <c r="D297" i="1" s="1"/>
  <c r="R253" i="1"/>
  <c r="D253" i="1" s="1"/>
  <c r="R168" i="1"/>
  <c r="D168" i="1" s="1"/>
  <c r="R381" i="1"/>
  <c r="D381" i="1" s="1"/>
  <c r="R244" i="1"/>
  <c r="D244" i="1" s="1"/>
  <c r="R3" i="1"/>
  <c r="D3" i="1" s="1"/>
  <c r="R393" i="1"/>
  <c r="D393" i="1" s="1"/>
  <c r="R351" i="1"/>
  <c r="D351" i="1" s="1"/>
  <c r="R278" i="1"/>
  <c r="D278" i="1" s="1"/>
  <c r="R85" i="1"/>
  <c r="D85" i="1" s="1"/>
  <c r="R300" i="1"/>
  <c r="D300" i="1" s="1"/>
  <c r="R59" i="1"/>
  <c r="D59" i="1" s="1"/>
  <c r="R254" i="1"/>
  <c r="D254" i="1" s="1"/>
  <c r="R21" i="1"/>
  <c r="D21" i="1" s="1"/>
  <c r="R162" i="1"/>
  <c r="D162" i="1" s="1"/>
  <c r="R374" i="1"/>
  <c r="D374" i="1" s="1"/>
  <c r="R115" i="1"/>
  <c r="D115" i="1" s="1"/>
  <c r="R22" i="1"/>
  <c r="D22" i="1" s="1"/>
  <c r="R262" i="1"/>
  <c r="D262" i="1" s="1"/>
  <c r="R106" i="1"/>
  <c r="D106" i="1" s="1"/>
  <c r="R335" i="1"/>
  <c r="D335" i="1" s="1"/>
  <c r="R313" i="1"/>
  <c r="D313" i="1" s="1"/>
  <c r="R69" i="1"/>
  <c r="D69" i="1" s="1"/>
  <c r="R235" i="1"/>
  <c r="D235" i="1" s="1"/>
  <c r="R232" i="1"/>
  <c r="D232" i="1" s="1"/>
  <c r="R80" i="1"/>
  <c r="D80" i="1" s="1"/>
  <c r="R29" i="1"/>
  <c r="D29" i="1" s="1"/>
  <c r="R341" i="1"/>
  <c r="D341" i="1" s="1"/>
  <c r="R263" i="1"/>
  <c r="D263" i="1" s="1"/>
  <c r="R132" i="1"/>
  <c r="D132" i="1" s="1"/>
  <c r="R282" i="1"/>
  <c r="D282" i="1" s="1"/>
  <c r="R64" i="1"/>
  <c r="D64" i="1" s="1"/>
  <c r="R13" i="1"/>
  <c r="D13" i="1" s="1"/>
  <c r="R328" i="1"/>
  <c r="D328" i="1" s="1"/>
  <c r="R255" i="1"/>
  <c r="D255" i="1" s="1"/>
  <c r="R124" i="1"/>
  <c r="D124" i="1" s="1"/>
  <c r="R274" i="1"/>
  <c r="D274" i="1" s="1"/>
  <c r="R176" i="1"/>
  <c r="D176" i="1" s="1"/>
  <c r="R125" i="1"/>
  <c r="D125" i="1" s="1"/>
  <c r="R40" i="1"/>
  <c r="D40" i="1" s="1"/>
  <c r="R311" i="1"/>
  <c r="D311" i="1" s="1"/>
  <c r="R180" i="1"/>
  <c r="D180" i="1" s="1"/>
  <c r="R330" i="1"/>
  <c r="D330" i="1" s="1"/>
  <c r="R285" i="1"/>
  <c r="D285" i="1" s="1"/>
  <c r="R237" i="1"/>
  <c r="D237" i="1" s="1"/>
  <c r="R152" i="1"/>
  <c r="D152" i="1" s="1"/>
  <c r="R373" i="1"/>
  <c r="D373" i="1" s="1"/>
  <c r="R236" i="1"/>
  <c r="D236" i="1" s="1"/>
  <c r="R392" i="1"/>
  <c r="D392" i="1" s="1"/>
  <c r="R382" i="1"/>
  <c r="D382" i="1" s="1"/>
  <c r="R271" i="1"/>
  <c r="D271" i="1" s="1"/>
  <c r="R217" i="1"/>
  <c r="D217" i="1" s="1"/>
  <c r="R136" i="1"/>
  <c r="D136" i="1" s="1"/>
  <c r="R384" i="1"/>
  <c r="D384" i="1" s="1"/>
  <c r="R223" i="1"/>
  <c r="D223" i="1" s="1"/>
  <c r="R343" i="1"/>
  <c r="D343" i="1" s="1"/>
  <c r="R224" i="1"/>
  <c r="D224" i="1" s="1"/>
  <c r="R207" i="1"/>
  <c r="D207" i="1" s="1"/>
  <c r="R279" i="1"/>
  <c r="D279" i="1" s="1"/>
  <c r="R28" i="1"/>
  <c r="D28" i="1" s="1"/>
  <c r="R283" i="1"/>
  <c r="D283" i="1" s="1"/>
  <c r="R167" i="1"/>
  <c r="D167" i="1" s="1"/>
  <c r="R318" i="1"/>
  <c r="D318" i="1" s="1"/>
  <c r="R134" i="1"/>
  <c r="D134" i="1" s="1"/>
  <c r="R277" i="1"/>
  <c r="D277" i="1" s="1"/>
  <c r="R225" i="1"/>
  <c r="D225" i="1" s="1"/>
  <c r="R215" i="1"/>
  <c r="D215" i="1" s="1"/>
  <c r="R79" i="1"/>
  <c r="D79" i="1" s="1"/>
  <c r="R171" i="1"/>
  <c r="D171" i="1" s="1"/>
  <c r="R93" i="1"/>
  <c r="D93" i="1" s="1"/>
  <c r="R292" i="1"/>
  <c r="D292" i="1" s="1"/>
  <c r="R287" i="1"/>
  <c r="D287" i="1" s="1"/>
  <c r="R293" i="1"/>
  <c r="D293" i="1" s="1"/>
  <c r="R135" i="1"/>
  <c r="D135" i="1" s="1"/>
  <c r="R154" i="1"/>
  <c r="D154" i="1" s="1"/>
  <c r="R280" i="1"/>
  <c r="D280" i="1" s="1"/>
  <c r="R127" i="1"/>
  <c r="D127" i="1" s="1"/>
  <c r="R146" i="1"/>
  <c r="D146" i="1" s="1"/>
  <c r="R375" i="1"/>
  <c r="D375" i="1" s="1"/>
  <c r="R183" i="1"/>
  <c r="D183" i="1" s="1"/>
  <c r="R202" i="1"/>
  <c r="D202" i="1" s="1"/>
  <c r="R325" i="1"/>
  <c r="D325" i="1" s="1"/>
  <c r="R239" i="1"/>
  <c r="D239" i="1" s="1"/>
  <c r="R258" i="1"/>
  <c r="D258" i="1" s="1"/>
  <c r="R268" i="1"/>
  <c r="D268" i="1" s="1"/>
  <c r="R197" i="1"/>
  <c r="D197" i="1" s="1"/>
  <c r="R379" i="1"/>
  <c r="D379" i="1" s="1"/>
  <c r="R173" i="1"/>
  <c r="D173" i="1" s="1"/>
  <c r="R360" i="1"/>
  <c r="D360" i="1" s="1"/>
  <c r="R73" i="1"/>
  <c r="D73" i="1" s="1"/>
  <c r="R58" i="1"/>
  <c r="D58" i="1" s="1"/>
  <c r="R110" i="1"/>
  <c r="D110" i="1" s="1"/>
  <c r="R371" i="1"/>
  <c r="D371" i="1" s="1"/>
  <c r="R211" i="1"/>
  <c r="D211" i="1" s="1"/>
  <c r="R94" i="1"/>
  <c r="D94" i="1" s="1"/>
  <c r="R358" i="1"/>
  <c r="D358" i="1" s="1"/>
  <c r="R203" i="1"/>
  <c r="D203" i="1" s="1"/>
  <c r="R206" i="1"/>
  <c r="D206" i="1" s="1"/>
  <c r="R70" i="1"/>
  <c r="D70" i="1" s="1"/>
  <c r="R259" i="1"/>
  <c r="D259" i="1" s="1"/>
  <c r="R309" i="1"/>
  <c r="D309" i="1" s="1"/>
  <c r="R182" i="1"/>
  <c r="D182" i="1" s="1"/>
  <c r="R44" i="1"/>
  <c r="D44" i="1" s="1"/>
  <c r="R305" i="1"/>
  <c r="D305" i="1" s="1"/>
  <c r="R272" i="1"/>
  <c r="D272" i="1" s="1"/>
  <c r="R189" i="1"/>
  <c r="D189" i="1" s="1"/>
  <c r="R145" i="1"/>
  <c r="D145" i="1" s="1"/>
  <c r="R170" i="1"/>
  <c r="D170" i="1" s="1"/>
  <c r="R31" i="1"/>
  <c r="D31" i="1" s="1"/>
  <c r="R337" i="1"/>
  <c r="D337" i="1" s="1"/>
  <c r="R41" i="1"/>
  <c r="D41" i="1" s="1"/>
  <c r="R261" i="1"/>
  <c r="D261" i="1" s="1"/>
  <c r="R7" i="1"/>
  <c r="D7" i="1" s="1"/>
  <c r="R147" i="1"/>
  <c r="D147" i="1" s="1"/>
  <c r="R26" i="1"/>
  <c r="D26" i="1" s="1"/>
  <c r="R299" i="1"/>
  <c r="D299" i="1" s="1"/>
  <c r="R25" i="1"/>
  <c r="D25" i="1" s="1"/>
  <c r="R245" i="1"/>
  <c r="D245" i="1" s="1"/>
  <c r="R386" i="1"/>
  <c r="D386" i="1" s="1"/>
  <c r="R139" i="1"/>
  <c r="D139" i="1" s="1"/>
  <c r="R18" i="1"/>
  <c r="D18" i="1" s="1"/>
  <c r="R78" i="1"/>
  <c r="D78" i="1" s="1"/>
  <c r="R137" i="1"/>
  <c r="D137" i="1" s="1"/>
  <c r="R339" i="1"/>
  <c r="D339" i="1" s="1"/>
  <c r="R55" i="1"/>
  <c r="D55" i="1" s="1"/>
  <c r="R195" i="1"/>
  <c r="D195" i="1" s="1"/>
  <c r="R74" i="1"/>
  <c r="D74" i="1" s="1"/>
  <c r="R190" i="1"/>
  <c r="D190" i="1" s="1"/>
  <c r="R249" i="1"/>
  <c r="D249" i="1" s="1"/>
  <c r="R54" i="1"/>
  <c r="D54" i="1" s="1"/>
  <c r="R111" i="1"/>
  <c r="D111" i="1" s="1"/>
  <c r="R251" i="1"/>
  <c r="D251" i="1" s="1"/>
  <c r="R130" i="1"/>
  <c r="D130" i="1" s="1"/>
  <c r="R216" i="1"/>
  <c r="D216" i="1" s="1"/>
  <c r="R12" i="1"/>
  <c r="D12" i="1" s="1"/>
  <c r="R16" i="1"/>
  <c r="D16" i="1" s="1"/>
  <c r="R362" i="1"/>
  <c r="D362" i="1" s="1"/>
  <c r="R113" i="1"/>
  <c r="D113" i="1" s="1"/>
  <c r="R193" i="1"/>
  <c r="D193" i="1" s="1"/>
  <c r="R84" i="1"/>
  <c r="D84" i="1" s="1"/>
  <c r="R185" i="1"/>
  <c r="D185" i="1" s="1"/>
  <c r="R367" i="1"/>
  <c r="D367" i="1" s="1"/>
  <c r="R284" i="1"/>
  <c r="D284" i="1" s="1"/>
  <c r="R50" i="1"/>
  <c r="D50" i="1" s="1"/>
  <c r="R156" i="1"/>
  <c r="D156" i="1" s="1"/>
  <c r="R144" i="1"/>
  <c r="D144" i="1" s="1"/>
  <c r="R20" i="1"/>
  <c r="D20" i="1" s="1"/>
  <c r="R143" i="1"/>
  <c r="D143" i="1" s="1"/>
  <c r="R289" i="1"/>
  <c r="D289" i="1" s="1"/>
  <c r="R240" i="1"/>
  <c r="D240" i="1" s="1"/>
  <c r="R366" i="1"/>
  <c r="D366" i="1" s="1"/>
  <c r="R112" i="1"/>
  <c r="D112" i="1" s="1"/>
  <c r="R276" i="1"/>
  <c r="D276" i="1" s="1"/>
  <c r="R238" i="1"/>
  <c r="D238" i="1" s="1"/>
  <c r="R102" i="1"/>
  <c r="D102" i="1" s="1"/>
  <c r="R4" i="1"/>
  <c r="D4" i="1" s="1"/>
  <c r="R222" i="1"/>
  <c r="D222" i="1" s="1"/>
  <c r="R86" i="1"/>
  <c r="D86" i="1" s="1"/>
  <c r="R267" i="1"/>
  <c r="D267" i="1" s="1"/>
  <c r="R321" i="1"/>
  <c r="D321" i="1" s="1"/>
  <c r="R198" i="1"/>
  <c r="D198" i="1" s="1"/>
  <c r="R52" i="1"/>
  <c r="D52" i="1" s="1"/>
  <c r="R32" i="1"/>
  <c r="D32" i="1" s="1"/>
  <c r="R302" i="1"/>
  <c r="D302" i="1" s="1"/>
  <c r="R108" i="1"/>
  <c r="D108" i="1" s="1"/>
  <c r="R45" i="1"/>
  <c r="D45" i="1" s="1"/>
  <c r="R273" i="1"/>
  <c r="D273" i="1" s="1"/>
  <c r="R256" i="1"/>
  <c r="D256" i="1" s="1"/>
  <c r="R87" i="1"/>
  <c r="D87" i="1" s="1"/>
  <c r="R204" i="1"/>
  <c r="D204" i="1" s="1"/>
  <c r="R105" i="1"/>
  <c r="D105" i="1" s="1"/>
  <c r="R314" i="1"/>
  <c r="D314" i="1" s="1"/>
  <c r="R179" i="1"/>
  <c r="D179" i="1" s="1"/>
  <c r="R169" i="1"/>
  <c r="D169" i="1" s="1"/>
  <c r="R71" i="1"/>
  <c r="D71" i="1" s="1"/>
  <c r="R90" i="1"/>
  <c r="D90" i="1" s="1"/>
  <c r="R153" i="1"/>
  <c r="D153" i="1" s="1"/>
  <c r="R63" i="1"/>
  <c r="D63" i="1" s="1"/>
  <c r="R82" i="1"/>
  <c r="D82" i="1" s="1"/>
  <c r="R265" i="1"/>
  <c r="D265" i="1" s="1"/>
  <c r="R119" i="1"/>
  <c r="D119" i="1" s="1"/>
  <c r="R138" i="1"/>
  <c r="D138" i="1" s="1"/>
  <c r="R363" i="1"/>
  <c r="D363" i="1" s="1"/>
  <c r="R175" i="1"/>
  <c r="D175" i="1" s="1"/>
  <c r="R194" i="1"/>
  <c r="D194" i="1" s="1"/>
  <c r="R140" i="1"/>
  <c r="D140" i="1" s="1"/>
  <c r="R365" i="1"/>
  <c r="D365" i="1" s="1"/>
  <c r="R391" i="1"/>
  <c r="D391" i="1" s="1"/>
  <c r="R212" i="1"/>
  <c r="D212" i="1" s="1"/>
  <c r="R23" i="1"/>
  <c r="D23" i="1" s="1"/>
  <c r="R51" i="1"/>
  <c r="D51" i="1" s="1"/>
  <c r="R114" i="1"/>
  <c r="D114" i="1" s="1"/>
  <c r="R320" i="1"/>
  <c r="D320" i="1" s="1"/>
  <c r="R97" i="1"/>
  <c r="D97" i="1" s="1"/>
  <c r="R390" i="1"/>
  <c r="D390" i="1" s="1"/>
  <c r="R317" i="1"/>
  <c r="D317" i="1" s="1"/>
  <c r="R133" i="1"/>
  <c r="D133" i="1" s="1"/>
  <c r="R324" i="1"/>
  <c r="D324" i="1" s="1"/>
  <c r="R83" i="1"/>
  <c r="D83" i="1" s="1"/>
  <c r="R65" i="1"/>
  <c r="D65" i="1" s="1"/>
  <c r="R377" i="1"/>
  <c r="D377" i="1" s="1"/>
  <c r="R304" i="1"/>
  <c r="D304" i="1" s="1"/>
  <c r="R117" i="1"/>
  <c r="D117" i="1" s="1"/>
  <c r="R316" i="1"/>
  <c r="D316" i="1" s="1"/>
  <c r="R75" i="1"/>
  <c r="D75" i="1" s="1"/>
  <c r="R356" i="1"/>
  <c r="D356" i="1" s="1"/>
  <c r="R257" i="1"/>
  <c r="D257" i="1" s="1"/>
  <c r="R9" i="1"/>
  <c r="D9" i="1" s="1"/>
  <c r="R229" i="1"/>
  <c r="D229" i="1" s="1"/>
  <c r="R378" i="1"/>
  <c r="D378" i="1" s="1"/>
  <c r="R131" i="1"/>
  <c r="D131" i="1" s="1"/>
  <c r="R10" i="1"/>
  <c r="D10" i="1" s="1"/>
  <c r="R62" i="1"/>
  <c r="D62" i="1" s="1"/>
  <c r="R121" i="1"/>
  <c r="D121" i="1" s="1"/>
  <c r="R326" i="1"/>
  <c r="D326" i="1" s="1"/>
  <c r="R47" i="1"/>
  <c r="D47" i="1" s="1"/>
  <c r="R187" i="1"/>
  <c r="D187" i="1" s="1"/>
  <c r="R336" i="1"/>
  <c r="D336" i="1" s="1"/>
  <c r="R359" i="1"/>
  <c r="D359" i="1" s="1"/>
  <c r="R27" i="1"/>
  <c r="D27" i="1" s="1"/>
  <c r="R161" i="1"/>
  <c r="D161" i="1" s="1"/>
  <c r="R228" i="1"/>
  <c r="D228" i="1" s="1"/>
  <c r="R205" i="1"/>
  <c r="D205" i="1" s="1"/>
  <c r="R201" i="1"/>
  <c r="D201" i="1" s="1"/>
  <c r="R368" i="1"/>
  <c r="D368" i="1" s="1"/>
  <c r="R88" i="1"/>
  <c r="D88" i="1" s="1"/>
  <c r="R46" i="1"/>
  <c r="D46" i="1" s="1"/>
  <c r="R107" i="1"/>
  <c r="D107" i="1" s="1"/>
  <c r="R307" i="1"/>
  <c r="D307" i="1" s="1"/>
  <c r="R30" i="1"/>
  <c r="D30" i="1" s="1"/>
  <c r="R8" i="1"/>
  <c r="D8" i="1" s="1"/>
  <c r="R296" i="1"/>
  <c r="D296" i="1" s="1"/>
  <c r="R226" i="1"/>
  <c r="D226" i="1" s="1"/>
  <c r="R219" i="1"/>
  <c r="D219" i="1" s="1"/>
  <c r="AH8" i="1"/>
  <c r="AG7" i="1"/>
  <c r="Y2" i="1"/>
  <c r="AH3" i="1"/>
  <c r="AH2" i="1"/>
  <c r="AG3" i="1"/>
  <c r="AF3" i="1"/>
  <c r="T326" i="1"/>
  <c r="N4" i="1"/>
  <c r="E4" i="1" s="1"/>
  <c r="R181" i="1"/>
  <c r="D181" i="1" s="1"/>
  <c r="R286" i="1"/>
  <c r="D286" i="1" s="1"/>
  <c r="R231" i="1"/>
  <c r="D231" i="1" s="1"/>
  <c r="R250" i="1"/>
  <c r="D250" i="1" s="1"/>
  <c r="R241" i="1"/>
  <c r="D241" i="1" s="1"/>
  <c r="R142" i="1"/>
  <c r="D142" i="1" s="1"/>
  <c r="R6" i="1"/>
  <c r="D6" i="1" s="1"/>
  <c r="R227" i="1"/>
  <c r="D227" i="1" s="1"/>
  <c r="R126" i="1"/>
  <c r="D126" i="1" s="1"/>
  <c r="R383" i="1"/>
  <c r="D383" i="1" s="1"/>
  <c r="R380" i="1"/>
  <c r="D380" i="1" s="1"/>
  <c r="R354" i="1"/>
  <c r="D354" i="1" s="1"/>
  <c r="R98" i="1"/>
  <c r="D98" i="1" s="1"/>
  <c r="R53" i="1"/>
  <c r="D53" i="1" s="1"/>
  <c r="R43" i="1"/>
  <c r="D43" i="1" s="1"/>
  <c r="R35" i="1"/>
  <c r="D35" i="1" s="1"/>
  <c r="R76" i="1"/>
  <c r="D76" i="1" s="1"/>
  <c r="R36" i="1"/>
  <c r="D36" i="1" s="1"/>
  <c r="R372" i="1"/>
  <c r="D372" i="1" s="1"/>
  <c r="R270" i="1"/>
  <c r="D270" i="1" s="1"/>
  <c r="R275" i="1"/>
  <c r="D275" i="1" s="1"/>
  <c r="R155" i="1"/>
  <c r="D155" i="1" s="1"/>
  <c r="R357" i="1"/>
  <c r="D357" i="1" s="1"/>
  <c r="R233" i="1"/>
  <c r="D233" i="1" s="1"/>
  <c r="R103" i="1"/>
  <c r="D103" i="1" s="1"/>
  <c r="R122" i="1"/>
  <c r="D122" i="1" s="1"/>
  <c r="R361" i="1"/>
  <c r="D361" i="1" s="1"/>
  <c r="R81" i="1"/>
  <c r="D81" i="1" s="1"/>
  <c r="R165" i="1"/>
  <c r="D165" i="1" s="1"/>
  <c r="R99" i="1"/>
  <c r="D99" i="1" s="1"/>
  <c r="R33" i="1"/>
  <c r="D33" i="1" s="1"/>
  <c r="R149" i="1"/>
  <c r="D149" i="1" s="1"/>
  <c r="R376" i="1"/>
  <c r="D376" i="1" s="1"/>
  <c r="R92" i="1"/>
  <c r="D92" i="1" s="1"/>
  <c r="R333" i="1"/>
  <c r="D333" i="1" s="1"/>
  <c r="R220" i="1"/>
  <c r="D220" i="1" s="1"/>
  <c r="R42" i="1"/>
  <c r="D42" i="1" s="1"/>
  <c r="R355" i="1"/>
  <c r="D355" i="1" s="1"/>
  <c r="R163" i="1"/>
  <c r="D163" i="1" s="1"/>
  <c r="R306" i="1"/>
  <c r="D306" i="1" s="1"/>
  <c r="R95" i="1"/>
  <c r="D95" i="1" s="1"/>
  <c r="R77" i="1"/>
  <c r="D77" i="1" s="1"/>
  <c r="R66" i="1"/>
  <c r="D66" i="1" s="1"/>
  <c r="R57" i="1"/>
  <c r="D57" i="1" s="1"/>
  <c r="R15" i="1"/>
  <c r="D15" i="1" s="1"/>
  <c r="R34" i="1"/>
  <c r="D34" i="1" s="1"/>
  <c r="R174" i="1"/>
  <c r="D174" i="1" s="1"/>
  <c r="R38" i="1"/>
  <c r="D38" i="1" s="1"/>
  <c r="R243" i="1"/>
  <c r="D243" i="1" s="1"/>
  <c r="R158" i="1"/>
  <c r="D158" i="1" s="1"/>
  <c r="R177" i="1"/>
  <c r="D177" i="1" s="1"/>
  <c r="R342" i="1"/>
  <c r="D342" i="1" s="1"/>
  <c r="R340" i="1"/>
  <c r="D340" i="1" s="1"/>
  <c r="R129" i="1"/>
  <c r="D129" i="1" s="1"/>
  <c r="R329" i="1"/>
  <c r="D329" i="1" s="1"/>
  <c r="R332" i="1"/>
  <c r="D332" i="1" s="1"/>
  <c r="R248" i="1"/>
  <c r="D248" i="1" s="1"/>
  <c r="R288" i="1"/>
  <c r="D288" i="1" s="1"/>
  <c r="R298" i="1"/>
  <c r="D298" i="1" s="1"/>
  <c r="R166" i="1"/>
  <c r="D166" i="1" s="1"/>
  <c r="R150" i="1"/>
  <c r="D150" i="1" s="1"/>
  <c r="R301" i="1"/>
  <c r="D301" i="1" s="1"/>
  <c r="R331" i="1"/>
  <c r="D331" i="1" s="1"/>
  <c r="R91" i="1"/>
  <c r="D91" i="1" s="1"/>
  <c r="R164" i="1"/>
  <c r="D164" i="1" s="1"/>
  <c r="R2" i="1"/>
  <c r="D2" i="1" s="1"/>
  <c r="R295" i="1"/>
  <c r="D295" i="1" s="1"/>
  <c r="R148" i="1"/>
  <c r="D148" i="1" s="1"/>
  <c r="R14" i="1"/>
  <c r="D14" i="1" s="1"/>
  <c r="R151" i="1"/>
  <c r="D151" i="1" s="1"/>
  <c r="R242" i="1"/>
  <c r="D242" i="1" s="1"/>
  <c r="R186" i="1"/>
  <c r="D186" i="1" s="1"/>
  <c r="R178" i="1"/>
  <c r="D178" i="1" s="1"/>
  <c r="R37" i="1"/>
  <c r="D37" i="1" s="1"/>
  <c r="R264" i="1"/>
  <c r="D264" i="1" s="1"/>
  <c r="U2" i="1"/>
  <c r="W114" i="1"/>
  <c r="W2" i="1"/>
  <c r="N2" i="1" s="1"/>
  <c r="E2" i="1" s="1"/>
  <c r="X3" i="4"/>
  <c r="T113" i="1"/>
  <c r="T2" i="1"/>
  <c r="AI337" i="1"/>
  <c r="AI362" i="1"/>
  <c r="AI377" i="1"/>
  <c r="AI328" i="1"/>
  <c r="AI384" i="1"/>
  <c r="AI329" i="1"/>
  <c r="AI385" i="1"/>
  <c r="AI332" i="1"/>
  <c r="AI386" i="1"/>
  <c r="AI333" i="1"/>
  <c r="AI387" i="1"/>
  <c r="AI376" i="1"/>
  <c r="AI341" i="1"/>
  <c r="AI363" i="1"/>
  <c r="AI378" i="1"/>
  <c r="AI365" i="1"/>
  <c r="AI369" i="1"/>
  <c r="AI370" i="1"/>
  <c r="AI371" i="1"/>
  <c r="AI336" i="1"/>
  <c r="AI342" i="1"/>
  <c r="AI364" i="1"/>
  <c r="AI379" i="1"/>
  <c r="AI343" i="1"/>
  <c r="AI354" i="1"/>
  <c r="AI355" i="1"/>
  <c r="AI356" i="1"/>
  <c r="AI357" i="1"/>
  <c r="AI114" i="1"/>
  <c r="AI116" i="1"/>
  <c r="AI122" i="1"/>
  <c r="AI118" i="1"/>
  <c r="AI120" i="1"/>
  <c r="AI155" i="1"/>
  <c r="AI171" i="1"/>
  <c r="AI170" i="1"/>
  <c r="AI158" i="1"/>
  <c r="AI174" i="1"/>
  <c r="AI162" i="1"/>
  <c r="AI150" i="1"/>
  <c r="AI167" i="1"/>
  <c r="AI159" i="1"/>
  <c r="AI175" i="1"/>
  <c r="AI163" i="1"/>
  <c r="AI166" i="1"/>
  <c r="AI151" i="1"/>
  <c r="AI154" i="1"/>
  <c r="X172" i="1"/>
  <c r="S172" i="1" s="1"/>
  <c r="S2" i="1"/>
  <c r="S10" i="1"/>
  <c r="S18" i="1"/>
  <c r="S26" i="1"/>
  <c r="S34" i="1"/>
  <c r="S42" i="1"/>
  <c r="S50" i="1"/>
  <c r="S58" i="1"/>
  <c r="S66" i="1"/>
  <c r="S74" i="1"/>
  <c r="S82" i="1"/>
  <c r="S90" i="1"/>
  <c r="S98" i="1"/>
  <c r="S106" i="1"/>
  <c r="S114" i="1"/>
  <c r="S122" i="1"/>
  <c r="S130" i="1"/>
  <c r="S138" i="1"/>
  <c r="S146" i="1"/>
  <c r="S178" i="1"/>
  <c r="S186" i="1"/>
  <c r="S194" i="1"/>
  <c r="S202" i="1"/>
  <c r="S210" i="1"/>
  <c r="S218" i="1"/>
  <c r="S226" i="1"/>
  <c r="S234" i="1"/>
  <c r="S242" i="1"/>
  <c r="S250" i="1"/>
  <c r="S258" i="1"/>
  <c r="S266" i="1"/>
  <c r="S274" i="1"/>
  <c r="S282" i="1"/>
  <c r="S290" i="1"/>
  <c r="S298" i="1"/>
  <c r="S306" i="1"/>
  <c r="S314" i="1"/>
  <c r="S322" i="1"/>
  <c r="S330" i="1"/>
  <c r="S338" i="1"/>
  <c r="S352" i="1"/>
  <c r="S360" i="1"/>
  <c r="S368" i="1"/>
  <c r="S376" i="1"/>
  <c r="S384" i="1"/>
  <c r="S392" i="1"/>
  <c r="S13" i="1"/>
  <c r="S61" i="1"/>
  <c r="S85" i="1"/>
  <c r="S101" i="1"/>
  <c r="S125" i="1"/>
  <c r="S141" i="1"/>
  <c r="S189" i="1"/>
  <c r="S205" i="1"/>
  <c r="S229" i="1"/>
  <c r="S253" i="1"/>
  <c r="S277" i="1"/>
  <c r="S301" i="1"/>
  <c r="S317" i="1"/>
  <c r="S341" i="1"/>
  <c r="S371" i="1"/>
  <c r="S3" i="1"/>
  <c r="S11" i="1"/>
  <c r="S19" i="1"/>
  <c r="S27" i="1"/>
  <c r="S35" i="1"/>
  <c r="S43" i="1"/>
  <c r="S51" i="1"/>
  <c r="S59" i="1"/>
  <c r="S67" i="1"/>
  <c r="S75" i="1"/>
  <c r="S83" i="1"/>
  <c r="S91" i="1"/>
  <c r="S99" i="1"/>
  <c r="S107" i="1"/>
  <c r="S115" i="1"/>
  <c r="S123" i="1"/>
  <c r="S131" i="1"/>
  <c r="S139" i="1"/>
  <c r="S147" i="1"/>
  <c r="S179" i="1"/>
  <c r="S187" i="1"/>
  <c r="S195" i="1"/>
  <c r="S203" i="1"/>
  <c r="S211" i="1"/>
  <c r="S219" i="1"/>
  <c r="S227" i="1"/>
  <c r="S235" i="1"/>
  <c r="S243" i="1"/>
  <c r="S251" i="1"/>
  <c r="S259" i="1"/>
  <c r="S267" i="1"/>
  <c r="S275" i="1"/>
  <c r="S283" i="1"/>
  <c r="S291" i="1"/>
  <c r="S299" i="1"/>
  <c r="S307" i="1"/>
  <c r="S315" i="1"/>
  <c r="S323" i="1"/>
  <c r="S331" i="1"/>
  <c r="S339" i="1"/>
  <c r="S353" i="1"/>
  <c r="S361" i="1"/>
  <c r="S369" i="1"/>
  <c r="S377" i="1"/>
  <c r="S385" i="1"/>
  <c r="S393" i="1"/>
  <c r="S21" i="1"/>
  <c r="S117" i="1"/>
  <c r="S181" i="1"/>
  <c r="S213" i="1"/>
  <c r="S237" i="1"/>
  <c r="S261" i="1"/>
  <c r="S285" i="1"/>
  <c r="S309" i="1"/>
  <c r="S333" i="1"/>
  <c r="S363" i="1"/>
  <c r="S4" i="1"/>
  <c r="S12" i="1"/>
  <c r="S20" i="1"/>
  <c r="S28" i="1"/>
  <c r="S36" i="1"/>
  <c r="S44" i="1"/>
  <c r="S52" i="1"/>
  <c r="S60" i="1"/>
  <c r="S68" i="1"/>
  <c r="S76" i="1"/>
  <c r="S84" i="1"/>
  <c r="S92" i="1"/>
  <c r="S100" i="1"/>
  <c r="S108" i="1"/>
  <c r="S116" i="1"/>
  <c r="S124" i="1"/>
  <c r="S132" i="1"/>
  <c r="S140" i="1"/>
  <c r="S180" i="1"/>
  <c r="S188" i="1"/>
  <c r="S196" i="1"/>
  <c r="S204" i="1"/>
  <c r="S212" i="1"/>
  <c r="S220" i="1"/>
  <c r="S228" i="1"/>
  <c r="S236" i="1"/>
  <c r="S244" i="1"/>
  <c r="S252" i="1"/>
  <c r="S260" i="1"/>
  <c r="S268" i="1"/>
  <c r="S276" i="1"/>
  <c r="S284" i="1"/>
  <c r="S292" i="1"/>
  <c r="S300" i="1"/>
  <c r="S308" i="1"/>
  <c r="S316" i="1"/>
  <c r="S324" i="1"/>
  <c r="S332" i="1"/>
  <c r="S340" i="1"/>
  <c r="S354" i="1"/>
  <c r="S362" i="1"/>
  <c r="S370" i="1"/>
  <c r="S378" i="1"/>
  <c r="S386" i="1"/>
  <c r="S5" i="1"/>
  <c r="S29" i="1"/>
  <c r="S37" i="1"/>
  <c r="S45" i="1"/>
  <c r="S53" i="1"/>
  <c r="S69" i="1"/>
  <c r="S77" i="1"/>
  <c r="S93" i="1"/>
  <c r="S109" i="1"/>
  <c r="S133" i="1"/>
  <c r="S197" i="1"/>
  <c r="S221" i="1"/>
  <c r="S245" i="1"/>
  <c r="S269" i="1"/>
  <c r="S293" i="1"/>
  <c r="S325" i="1"/>
  <c r="S355" i="1"/>
  <c r="S7" i="1"/>
  <c r="S15" i="1"/>
  <c r="S23" i="1"/>
  <c r="S31" i="1"/>
  <c r="S39" i="1"/>
  <c r="S47" i="1"/>
  <c r="S55" i="1"/>
  <c r="S63" i="1"/>
  <c r="S71" i="1"/>
  <c r="S79" i="1"/>
  <c r="S87" i="1"/>
  <c r="S95" i="1"/>
  <c r="S103" i="1"/>
  <c r="S111" i="1"/>
  <c r="S119" i="1"/>
  <c r="S127" i="1"/>
  <c r="S135" i="1"/>
  <c r="S143" i="1"/>
  <c r="S183" i="1"/>
  <c r="S191" i="1"/>
  <c r="S199" i="1"/>
  <c r="S207" i="1"/>
  <c r="S215" i="1"/>
  <c r="S223" i="1"/>
  <c r="S231" i="1"/>
  <c r="S239" i="1"/>
  <c r="S247" i="1"/>
  <c r="S255" i="1"/>
  <c r="S263" i="1"/>
  <c r="S271" i="1"/>
  <c r="S279" i="1"/>
  <c r="S287" i="1"/>
  <c r="S295" i="1"/>
  <c r="S303" i="1"/>
  <c r="S311" i="1"/>
  <c r="S319" i="1"/>
  <c r="S327" i="1"/>
  <c r="S335" i="1"/>
  <c r="S343" i="1"/>
  <c r="S357" i="1"/>
  <c r="S365" i="1"/>
  <c r="S373" i="1"/>
  <c r="S381" i="1"/>
  <c r="S389" i="1"/>
  <c r="S8" i="1"/>
  <c r="S16" i="1"/>
  <c r="S24" i="1"/>
  <c r="S32" i="1"/>
  <c r="S40" i="1"/>
  <c r="S48" i="1"/>
  <c r="S56" i="1"/>
  <c r="S64" i="1"/>
  <c r="S72" i="1"/>
  <c r="S80" i="1"/>
  <c r="S88" i="1"/>
  <c r="S96" i="1"/>
  <c r="S104" i="1"/>
  <c r="S112" i="1"/>
  <c r="S120" i="1"/>
  <c r="S128" i="1"/>
  <c r="S136" i="1"/>
  <c r="S144" i="1"/>
  <c r="S176" i="1"/>
  <c r="S184" i="1"/>
  <c r="S192" i="1"/>
  <c r="S200" i="1"/>
  <c r="S208" i="1"/>
  <c r="S216" i="1"/>
  <c r="S224" i="1"/>
  <c r="S232" i="1"/>
  <c r="S240" i="1"/>
  <c r="S248" i="1"/>
  <c r="S256" i="1"/>
  <c r="S264" i="1"/>
  <c r="S272" i="1"/>
  <c r="S280" i="1"/>
  <c r="S288" i="1"/>
  <c r="S296" i="1"/>
  <c r="S6" i="1"/>
  <c r="S38" i="1"/>
  <c r="S70" i="1"/>
  <c r="S102" i="1"/>
  <c r="S134" i="1"/>
  <c r="S198" i="1"/>
  <c r="S230" i="1"/>
  <c r="S262" i="1"/>
  <c r="S294" i="1"/>
  <c r="S318" i="1"/>
  <c r="S337" i="1"/>
  <c r="S366" i="1"/>
  <c r="S383" i="1"/>
  <c r="S49" i="1"/>
  <c r="S241" i="1"/>
  <c r="S326" i="1"/>
  <c r="S374" i="1"/>
  <c r="S54" i="1"/>
  <c r="S246" i="1"/>
  <c r="S328" i="1"/>
  <c r="S391" i="1"/>
  <c r="S97" i="1"/>
  <c r="S336" i="1"/>
  <c r="S9" i="1"/>
  <c r="S41" i="1"/>
  <c r="S73" i="1"/>
  <c r="S105" i="1"/>
  <c r="S137" i="1"/>
  <c r="S201" i="1"/>
  <c r="S233" i="1"/>
  <c r="S265" i="1"/>
  <c r="S297" i="1"/>
  <c r="S320" i="1"/>
  <c r="S342" i="1"/>
  <c r="S367" i="1"/>
  <c r="S387" i="1"/>
  <c r="S81" i="1"/>
  <c r="S390" i="1"/>
  <c r="S22" i="1"/>
  <c r="S118" i="1"/>
  <c r="S214" i="1"/>
  <c r="S305" i="1"/>
  <c r="S375" i="1"/>
  <c r="S65" i="1"/>
  <c r="S289" i="1"/>
  <c r="S14" i="1"/>
  <c r="S46" i="1"/>
  <c r="S78" i="1"/>
  <c r="S110" i="1"/>
  <c r="S142" i="1"/>
  <c r="S206" i="1"/>
  <c r="S238" i="1"/>
  <c r="S270" i="1"/>
  <c r="S302" i="1"/>
  <c r="S321" i="1"/>
  <c r="S350" i="1"/>
  <c r="S372" i="1"/>
  <c r="S388" i="1"/>
  <c r="S17" i="1"/>
  <c r="S113" i="1"/>
  <c r="S145" i="1"/>
  <c r="S177" i="1"/>
  <c r="S209" i="1"/>
  <c r="S273" i="1"/>
  <c r="S304" i="1"/>
  <c r="S351" i="1"/>
  <c r="S86" i="1"/>
  <c r="S182" i="1"/>
  <c r="S278" i="1"/>
  <c r="S356" i="1"/>
  <c r="S129" i="1"/>
  <c r="S364" i="1"/>
  <c r="S25" i="1"/>
  <c r="S57" i="1"/>
  <c r="S89" i="1"/>
  <c r="S121" i="1"/>
  <c r="S185" i="1"/>
  <c r="S217" i="1"/>
  <c r="S249" i="1"/>
  <c r="S281" i="1"/>
  <c r="S310" i="1"/>
  <c r="S329" i="1"/>
  <c r="S358" i="1"/>
  <c r="S379" i="1"/>
  <c r="S30" i="1"/>
  <c r="S62" i="1"/>
  <c r="S94" i="1"/>
  <c r="S126" i="1"/>
  <c r="S190" i="1"/>
  <c r="S222" i="1"/>
  <c r="S254" i="1"/>
  <c r="S286" i="1"/>
  <c r="S312" i="1"/>
  <c r="S334" i="1"/>
  <c r="S359" i="1"/>
  <c r="S380" i="1"/>
  <c r="S33" i="1"/>
  <c r="S193" i="1"/>
  <c r="S225" i="1"/>
  <c r="S257" i="1"/>
  <c r="S313" i="1"/>
  <c r="S382" i="1"/>
  <c r="Y52" i="1"/>
  <c r="AQ2" i="4"/>
  <c r="T389" i="1"/>
  <c r="T391" i="1"/>
  <c r="AI393" i="1"/>
  <c r="T392" i="1"/>
  <c r="T393" i="1"/>
  <c r="W393" i="1"/>
  <c r="AI392" i="1"/>
  <c r="Y389" i="1"/>
  <c r="W392" i="1"/>
  <c r="Y392" i="1"/>
  <c r="Y390" i="1"/>
  <c r="W391" i="1"/>
  <c r="T390" i="1"/>
  <c r="AI391" i="1"/>
  <c r="Y391" i="1"/>
  <c r="Y393" i="1"/>
  <c r="AF392" i="1"/>
  <c r="AH392" i="1"/>
  <c r="AF391" i="1"/>
  <c r="AF393" i="1"/>
  <c r="AH391" i="1"/>
  <c r="AH393" i="1"/>
  <c r="T388" i="1"/>
  <c r="Y388" i="1"/>
  <c r="AH390" i="1"/>
  <c r="AF390" i="1"/>
  <c r="U390" i="1"/>
  <c r="W390" i="1"/>
  <c r="V390" i="1"/>
  <c r="M390" i="1" s="1"/>
  <c r="F390" i="1" s="1"/>
  <c r="AF389" i="1"/>
  <c r="AH389" i="1"/>
  <c r="U389" i="1"/>
  <c r="W389" i="1"/>
  <c r="V389" i="1"/>
  <c r="M389" i="1" s="1"/>
  <c r="F389" i="1" s="1"/>
  <c r="AH388" i="1"/>
  <c r="AF388" i="1"/>
  <c r="W388" i="1"/>
  <c r="U388" i="1"/>
  <c r="V388" i="1"/>
  <c r="M388" i="1" s="1"/>
  <c r="F388" i="1" s="1"/>
  <c r="Y385" i="1"/>
  <c r="T386" i="1"/>
  <c r="W387" i="1"/>
  <c r="W386" i="1"/>
  <c r="T385" i="1"/>
  <c r="W385" i="1"/>
  <c r="Y386" i="1"/>
  <c r="T387" i="1"/>
  <c r="Y387" i="1"/>
  <c r="Y384" i="1"/>
  <c r="W384" i="1"/>
  <c r="T384" i="1"/>
  <c r="AH384" i="1"/>
  <c r="AF384" i="1"/>
  <c r="AF386" i="1"/>
  <c r="AF385" i="1"/>
  <c r="AF387" i="1"/>
  <c r="AH386" i="1"/>
  <c r="AH385" i="1"/>
  <c r="AH387" i="1"/>
  <c r="Y383" i="1"/>
  <c r="Y382" i="1"/>
  <c r="T383" i="1"/>
  <c r="T382" i="1"/>
  <c r="Y381" i="1"/>
  <c r="T381" i="1"/>
  <c r="T380" i="1"/>
  <c r="Y380" i="1"/>
  <c r="AH383" i="1"/>
  <c r="W383" i="1"/>
  <c r="AF383" i="1"/>
  <c r="U383" i="1"/>
  <c r="V383" i="1"/>
  <c r="M383" i="1" s="1"/>
  <c r="F383" i="1" s="1"/>
  <c r="AF382" i="1"/>
  <c r="U382" i="1"/>
  <c r="AH382" i="1"/>
  <c r="W382" i="1"/>
  <c r="V382" i="1"/>
  <c r="M382" i="1" s="1"/>
  <c r="F382" i="1" s="1"/>
  <c r="AF381" i="1"/>
  <c r="AH381" i="1"/>
  <c r="U381" i="1"/>
  <c r="W381" i="1"/>
  <c r="V381" i="1"/>
  <c r="M381" i="1" s="1"/>
  <c r="F381" i="1" s="1"/>
  <c r="AF380" i="1"/>
  <c r="AH380" i="1"/>
  <c r="W380" i="1"/>
  <c r="U380" i="1"/>
  <c r="V380" i="1"/>
  <c r="M380" i="1" s="1"/>
  <c r="F380" i="1" s="1"/>
  <c r="T375" i="1"/>
  <c r="T376" i="1"/>
  <c r="Y376" i="1"/>
  <c r="W379" i="1"/>
  <c r="W378" i="1"/>
  <c r="W377" i="1"/>
  <c r="AH377" i="1"/>
  <c r="T378" i="1"/>
  <c r="Y378" i="1"/>
  <c r="W376" i="1"/>
  <c r="AF376" i="1"/>
  <c r="AH376" i="1"/>
  <c r="AH378" i="1"/>
  <c r="AH379" i="1"/>
  <c r="AF378" i="1"/>
  <c r="T377" i="1"/>
  <c r="T379" i="1"/>
  <c r="Y377" i="1"/>
  <c r="Y379" i="1"/>
  <c r="AF377" i="1"/>
  <c r="AF379" i="1"/>
  <c r="Y375" i="1"/>
  <c r="T374" i="1"/>
  <c r="Y374" i="1"/>
  <c r="Y373" i="1"/>
  <c r="T373" i="1"/>
  <c r="T372" i="1"/>
  <c r="Y372" i="1"/>
  <c r="V375" i="1"/>
  <c r="M375" i="1" s="1"/>
  <c r="F375" i="1" s="1"/>
  <c r="U375" i="1"/>
  <c r="W375" i="1"/>
  <c r="AF375" i="1"/>
  <c r="AF374" i="1"/>
  <c r="AH374" i="1"/>
  <c r="U374" i="1"/>
  <c r="W374" i="1"/>
  <c r="V374" i="1"/>
  <c r="M374" i="1" s="1"/>
  <c r="F374" i="1" s="1"/>
  <c r="AF373" i="1"/>
  <c r="AH373" i="1"/>
  <c r="W373" i="1"/>
  <c r="U373" i="1"/>
  <c r="V373" i="1"/>
  <c r="M373" i="1" s="1"/>
  <c r="F373" i="1" s="1"/>
  <c r="AF372" i="1"/>
  <c r="AH372" i="1"/>
  <c r="U372" i="1"/>
  <c r="W372" i="1"/>
  <c r="V372" i="1"/>
  <c r="M372" i="1" s="1"/>
  <c r="F372" i="1" s="1"/>
  <c r="W371" i="1"/>
  <c r="AH370" i="1"/>
  <c r="W370" i="1"/>
  <c r="T370" i="1"/>
  <c r="Y370" i="1"/>
  <c r="AF370" i="1"/>
  <c r="W369" i="1"/>
  <c r="T371" i="1"/>
  <c r="Y369" i="1"/>
  <c r="Y371" i="1"/>
  <c r="AF369" i="1"/>
  <c r="AF371" i="1"/>
  <c r="T369" i="1"/>
  <c r="AH369" i="1"/>
  <c r="AH371" i="1"/>
  <c r="Y368" i="1"/>
  <c r="T368" i="1"/>
  <c r="Y367" i="1"/>
  <c r="T367" i="1"/>
  <c r="T366" i="1"/>
  <c r="Y366" i="1"/>
  <c r="AF368" i="1"/>
  <c r="AH368" i="1"/>
  <c r="W368" i="1"/>
  <c r="U368" i="1"/>
  <c r="V368" i="1"/>
  <c r="M368" i="1" s="1"/>
  <c r="F368" i="1" s="1"/>
  <c r="AF367" i="1"/>
  <c r="AH367" i="1"/>
  <c r="W367" i="1"/>
  <c r="U367" i="1"/>
  <c r="V367" i="1"/>
  <c r="M367" i="1" s="1"/>
  <c r="F367" i="1" s="1"/>
  <c r="AF366" i="1"/>
  <c r="W366" i="1"/>
  <c r="AH366" i="1"/>
  <c r="U366" i="1"/>
  <c r="V366" i="1"/>
  <c r="M366" i="1" s="1"/>
  <c r="F366" i="1" s="1"/>
  <c r="W365" i="1"/>
  <c r="W364" i="1"/>
  <c r="W363" i="1"/>
  <c r="T362" i="1"/>
  <c r="Y364" i="1"/>
  <c r="Y365" i="1"/>
  <c r="Y362" i="1"/>
  <c r="Y363" i="1"/>
  <c r="T364" i="1"/>
  <c r="W362" i="1"/>
  <c r="AF362" i="1"/>
  <c r="AF364" i="1"/>
  <c r="AH362" i="1"/>
  <c r="AH364" i="1"/>
  <c r="T363" i="1"/>
  <c r="T365" i="1"/>
  <c r="AF363" i="1"/>
  <c r="AF365" i="1"/>
  <c r="AH363" i="1"/>
  <c r="AH365" i="1"/>
  <c r="Y360" i="1"/>
  <c r="T360" i="1"/>
  <c r="Y361" i="1"/>
  <c r="Y359" i="1"/>
  <c r="T361" i="1"/>
  <c r="T359" i="1"/>
  <c r="T358" i="1"/>
  <c r="Y358" i="1"/>
  <c r="AF361" i="1"/>
  <c r="W361" i="1"/>
  <c r="AH361" i="1"/>
  <c r="U361" i="1"/>
  <c r="V361" i="1"/>
  <c r="M361" i="1" s="1"/>
  <c r="F361" i="1" s="1"/>
  <c r="AF360" i="1"/>
  <c r="AH360" i="1"/>
  <c r="U360" i="1"/>
  <c r="W360" i="1"/>
  <c r="V360" i="1"/>
  <c r="M360" i="1" s="1"/>
  <c r="F360" i="1" s="1"/>
  <c r="AH359" i="1"/>
  <c r="W359" i="1"/>
  <c r="U359" i="1"/>
  <c r="AF359" i="1"/>
  <c r="V359" i="1"/>
  <c r="M359" i="1" s="1"/>
  <c r="F359" i="1" s="1"/>
  <c r="AF358" i="1"/>
  <c r="AH358" i="1"/>
  <c r="U358" i="1"/>
  <c r="W358" i="1"/>
  <c r="V358" i="1"/>
  <c r="M358" i="1" s="1"/>
  <c r="F358" i="1" s="1"/>
  <c r="T356" i="1"/>
  <c r="Y356" i="1"/>
  <c r="W357" i="1"/>
  <c r="T354" i="1"/>
  <c r="W356" i="1"/>
  <c r="Y354" i="1"/>
  <c r="Y355" i="1"/>
  <c r="W355" i="1"/>
  <c r="Y357" i="1"/>
  <c r="W354" i="1"/>
  <c r="AF356" i="1"/>
  <c r="AH354" i="1"/>
  <c r="AH356" i="1"/>
  <c r="AF354" i="1"/>
  <c r="T355" i="1"/>
  <c r="T357" i="1"/>
  <c r="AF355" i="1"/>
  <c r="AF357" i="1"/>
  <c r="AH355" i="1"/>
  <c r="AH357" i="1"/>
  <c r="Y353" i="1"/>
  <c r="Y352" i="1"/>
  <c r="T352" i="1"/>
  <c r="T353" i="1"/>
  <c r="Y351" i="1"/>
  <c r="T351" i="1"/>
  <c r="T350" i="1"/>
  <c r="Y350" i="1"/>
  <c r="V353" i="1"/>
  <c r="M353" i="1" s="1"/>
  <c r="F353" i="1" s="1"/>
  <c r="U353" i="1"/>
  <c r="W353" i="1"/>
  <c r="AF353" i="1"/>
  <c r="AH353" i="1"/>
  <c r="AH352" i="1"/>
  <c r="AF352" i="1"/>
  <c r="W352" i="1"/>
  <c r="U352" i="1"/>
  <c r="V352" i="1"/>
  <c r="M352" i="1" s="1"/>
  <c r="F352" i="1" s="1"/>
  <c r="AH351" i="1"/>
  <c r="W351" i="1"/>
  <c r="U351" i="1"/>
  <c r="AF351" i="1"/>
  <c r="V351" i="1"/>
  <c r="M351" i="1" s="1"/>
  <c r="F351" i="1" s="1"/>
  <c r="AF350" i="1"/>
  <c r="AH350" i="1"/>
  <c r="U350" i="1"/>
  <c r="W350" i="1"/>
  <c r="V350" i="1"/>
  <c r="M350" i="1" s="1"/>
  <c r="F350" i="1" s="1"/>
  <c r="T343" i="1"/>
  <c r="W343" i="1"/>
  <c r="Y343" i="1"/>
  <c r="AF343" i="1"/>
  <c r="AH343" i="1"/>
  <c r="Y340" i="1"/>
  <c r="T340" i="1"/>
  <c r="V340" i="1"/>
  <c r="M340" i="1" s="1"/>
  <c r="F340" i="1" s="1"/>
  <c r="U340" i="1"/>
  <c r="W340" i="1"/>
  <c r="AF340" i="1"/>
  <c r="AH340" i="1"/>
  <c r="AH339" i="1"/>
  <c r="T342" i="1"/>
  <c r="Y341" i="1"/>
  <c r="T341" i="1"/>
  <c r="W341" i="1"/>
  <c r="W342" i="1"/>
  <c r="AF341" i="1"/>
  <c r="AH341" i="1"/>
  <c r="AF342" i="1"/>
  <c r="AH342" i="1"/>
  <c r="Y342" i="1"/>
  <c r="Y339" i="1"/>
  <c r="T339" i="1"/>
  <c r="AF339" i="1"/>
  <c r="W339" i="1"/>
  <c r="U339" i="1"/>
  <c r="V339" i="1"/>
  <c r="M339" i="1" s="1"/>
  <c r="F339" i="1" s="1"/>
  <c r="W338" i="1"/>
  <c r="AF338" i="1"/>
  <c r="U338" i="1"/>
  <c r="AH338" i="1"/>
  <c r="V338" i="1"/>
  <c r="M338" i="1" s="1"/>
  <c r="F338" i="1" s="1"/>
  <c r="AF336" i="1"/>
  <c r="T338" i="1"/>
  <c r="Y338" i="1"/>
  <c r="T336" i="1"/>
  <c r="Y336" i="1"/>
  <c r="T337" i="1"/>
  <c r="Y337" i="1"/>
  <c r="AF337" i="1"/>
  <c r="AH336" i="1"/>
  <c r="AH337" i="1"/>
  <c r="W337" i="1"/>
  <c r="W336" i="1"/>
  <c r="W335" i="1"/>
  <c r="U335" i="1"/>
  <c r="V335" i="1"/>
  <c r="M335" i="1" s="1"/>
  <c r="F335" i="1" s="1"/>
  <c r="T335" i="1"/>
  <c r="Y335" i="1"/>
  <c r="AF334" i="1"/>
  <c r="AH335" i="1"/>
  <c r="W334" i="1"/>
  <c r="U334" i="1"/>
  <c r="V334" i="1"/>
  <c r="M334" i="1" s="1"/>
  <c r="F334" i="1" s="1"/>
  <c r="AF335" i="1"/>
  <c r="AH334" i="1"/>
  <c r="W333" i="1"/>
  <c r="W332" i="1"/>
  <c r="AF332" i="1"/>
  <c r="AH332" i="1"/>
  <c r="AF333" i="1"/>
  <c r="AH333" i="1"/>
  <c r="Y334" i="1"/>
  <c r="T334" i="1"/>
  <c r="T333" i="1"/>
  <c r="Y332" i="1"/>
  <c r="Y333" i="1"/>
  <c r="T332" i="1"/>
  <c r="Y331" i="1"/>
  <c r="T330" i="1"/>
  <c r="T331" i="1"/>
  <c r="Y330" i="1"/>
  <c r="U330" i="1"/>
  <c r="V330" i="1"/>
  <c r="M330" i="1" s="1"/>
  <c r="F330" i="1" s="1"/>
  <c r="AF331" i="1"/>
  <c r="W330" i="1"/>
  <c r="W331" i="1"/>
  <c r="AF330" i="1"/>
  <c r="U331" i="1"/>
  <c r="V331" i="1"/>
  <c r="M331" i="1" s="1"/>
  <c r="F331" i="1" s="1"/>
  <c r="AH331" i="1"/>
  <c r="AH330" i="1"/>
  <c r="W329" i="1"/>
  <c r="T328" i="1"/>
  <c r="Y328" i="1"/>
  <c r="T329" i="1"/>
  <c r="Y329" i="1"/>
  <c r="AF328" i="1"/>
  <c r="AF329" i="1"/>
  <c r="AH328" i="1"/>
  <c r="AH329" i="1"/>
  <c r="W328" i="1"/>
  <c r="Y327" i="1"/>
  <c r="T327" i="1"/>
  <c r="AF327" i="1"/>
  <c r="V327" i="1"/>
  <c r="M327" i="1" s="1"/>
  <c r="F327" i="1" s="1"/>
  <c r="U327" i="1"/>
  <c r="W327" i="1"/>
  <c r="AH327" i="1"/>
  <c r="U326" i="1"/>
  <c r="V326" i="1"/>
  <c r="M326" i="1" s="1"/>
  <c r="F326" i="1" s="1"/>
  <c r="W326" i="1"/>
  <c r="AH326" i="1"/>
  <c r="AF326" i="1"/>
  <c r="Y326" i="1"/>
  <c r="U321" i="1"/>
  <c r="W322" i="1"/>
  <c r="Y323" i="1"/>
  <c r="AF323" i="1"/>
  <c r="AF324" i="1"/>
  <c r="AH324" i="1"/>
  <c r="AH321" i="1"/>
  <c r="Y325" i="1"/>
  <c r="W321" i="1"/>
  <c r="AF325" i="1"/>
  <c r="V321" i="1"/>
  <c r="M321" i="1" s="1"/>
  <c r="F321" i="1" s="1"/>
  <c r="T322" i="1"/>
  <c r="T321" i="1"/>
  <c r="W323" i="1"/>
  <c r="Y321" i="1"/>
  <c r="AF322" i="1"/>
  <c r="T324" i="1"/>
  <c r="AH325" i="1"/>
  <c r="T323" i="1"/>
  <c r="W324" i="1"/>
  <c r="T325" i="1"/>
  <c r="AH323" i="1"/>
  <c r="Y322" i="1"/>
  <c r="AF321" i="1"/>
  <c r="AH322" i="1"/>
  <c r="Y324" i="1"/>
  <c r="W325" i="1"/>
  <c r="Y318" i="1"/>
  <c r="AH316" i="1"/>
  <c r="T317" i="1"/>
  <c r="T319" i="1"/>
  <c r="AH317" i="1"/>
  <c r="AH319" i="1"/>
  <c r="W317" i="1"/>
  <c r="W319" i="1"/>
  <c r="T316" i="1"/>
  <c r="T318" i="1"/>
  <c r="Y320" i="1"/>
  <c r="AF318" i="1"/>
  <c r="Y316" i="1"/>
  <c r="AH318" i="1"/>
  <c r="Y319" i="1"/>
  <c r="AF316" i="1"/>
  <c r="W318" i="1"/>
  <c r="AF319" i="1"/>
  <c r="T320" i="1"/>
  <c r="W316" i="1"/>
  <c r="AF320" i="1"/>
  <c r="U316" i="1"/>
  <c r="Y317" i="1"/>
  <c r="AH320" i="1"/>
  <c r="V316" i="1"/>
  <c r="AF317" i="1"/>
  <c r="W320" i="1"/>
  <c r="T307" i="1"/>
  <c r="AF308" i="1"/>
  <c r="T310" i="1"/>
  <c r="AH309" i="1"/>
  <c r="Y311" i="1"/>
  <c r="T312" i="1"/>
  <c r="AF313" i="1"/>
  <c r="AH313" i="1"/>
  <c r="W312" i="1"/>
  <c r="T306" i="1"/>
  <c r="W309" i="1"/>
  <c r="T313" i="1"/>
  <c r="AH307" i="1"/>
  <c r="AF311" i="1"/>
  <c r="AF314" i="1"/>
  <c r="T308" i="1"/>
  <c r="AH311" i="1"/>
  <c r="W314" i="1"/>
  <c r="AF307" i="1"/>
  <c r="Y308" i="1"/>
  <c r="W311" i="1"/>
  <c r="T315" i="1"/>
  <c r="V306" i="1"/>
  <c r="M306" i="1" s="1"/>
  <c r="F306" i="1" s="1"/>
  <c r="AH314" i="1"/>
  <c r="Y307" i="1"/>
  <c r="Y313" i="1"/>
  <c r="Y306" i="1"/>
  <c r="AH308" i="1"/>
  <c r="Y310" i="1"/>
  <c r="AF306" i="1"/>
  <c r="W308" i="1"/>
  <c r="AF310" i="1"/>
  <c r="Y315" i="1"/>
  <c r="AH306" i="1"/>
  <c r="W307" i="1"/>
  <c r="T309" i="1"/>
  <c r="AH310" i="1"/>
  <c r="Y312" i="1"/>
  <c r="W313" i="1"/>
  <c r="AF315" i="1"/>
  <c r="W306" i="1"/>
  <c r="U307" i="1"/>
  <c r="Y309" i="1"/>
  <c r="W310" i="1"/>
  <c r="AF312" i="1"/>
  <c r="T314" i="1"/>
  <c r="AH315" i="1"/>
  <c r="U306" i="1"/>
  <c r="V307" i="1"/>
  <c r="M307" i="1" s="1"/>
  <c r="F307" i="1" s="1"/>
  <c r="AF309" i="1"/>
  <c r="T311" i="1"/>
  <c r="AH312" i="1"/>
  <c r="Y314" i="1"/>
  <c r="W315" i="1"/>
  <c r="AH299" i="1"/>
  <c r="T302" i="1"/>
  <c r="AH297" i="1"/>
  <c r="AF303" i="1"/>
  <c r="AH303" i="1"/>
  <c r="T298" i="1"/>
  <c r="W302" i="1"/>
  <c r="Y298" i="1"/>
  <c r="T303" i="1"/>
  <c r="Y296" i="1"/>
  <c r="Y300" i="1"/>
  <c r="AF304" i="1"/>
  <c r="W298" i="1"/>
  <c r="T297" i="1"/>
  <c r="Y301" i="1"/>
  <c r="T305" i="1"/>
  <c r="AF297" i="1"/>
  <c r="W301" i="1"/>
  <c r="Y305" i="1"/>
  <c r="V296" i="1"/>
  <c r="M296" i="1" s="1"/>
  <c r="F296" i="1" s="1"/>
  <c r="W299" i="1"/>
  <c r="AF301" i="1"/>
  <c r="AH304" i="1"/>
  <c r="T296" i="1"/>
  <c r="Y297" i="1"/>
  <c r="AF298" i="1"/>
  <c r="T300" i="1"/>
  <c r="AH301" i="1"/>
  <c r="Y303" i="1"/>
  <c r="W304" i="1"/>
  <c r="AF300" i="1"/>
  <c r="AH296" i="1"/>
  <c r="W297" i="1"/>
  <c r="T299" i="1"/>
  <c r="AH300" i="1"/>
  <c r="Y302" i="1"/>
  <c r="W303" i="1"/>
  <c r="AF305" i="1"/>
  <c r="AH298" i="1"/>
  <c r="AF296" i="1"/>
  <c r="W296" i="1"/>
  <c r="U297" i="1"/>
  <c r="Y299" i="1"/>
  <c r="W300" i="1"/>
  <c r="AF302" i="1"/>
  <c r="T304" i="1"/>
  <c r="AH305" i="1"/>
  <c r="U296" i="1"/>
  <c r="V297" i="1"/>
  <c r="M297" i="1" s="1"/>
  <c r="F297" i="1" s="1"/>
  <c r="AF299" i="1"/>
  <c r="T301" i="1"/>
  <c r="AH302" i="1"/>
  <c r="Y304" i="1"/>
  <c r="W305" i="1"/>
  <c r="AH295" i="1"/>
  <c r="T288" i="1"/>
  <c r="W291" i="1"/>
  <c r="AF287" i="1"/>
  <c r="AH287" i="1"/>
  <c r="W292" i="1"/>
  <c r="AH293" i="1"/>
  <c r="AF293" i="1"/>
  <c r="Y288" i="1"/>
  <c r="Y289" i="1"/>
  <c r="AF294" i="1"/>
  <c r="AH289" i="1"/>
  <c r="T295" i="1"/>
  <c r="Y286" i="1"/>
  <c r="Y291" i="1"/>
  <c r="Y290" i="1"/>
  <c r="Y295" i="1"/>
  <c r="V286" i="1"/>
  <c r="M286" i="1" s="1"/>
  <c r="F286" i="1" s="1"/>
  <c r="T287" i="1"/>
  <c r="W289" i="1"/>
  <c r="AF291" i="1"/>
  <c r="T293" i="1"/>
  <c r="AH294" i="1"/>
  <c r="T286" i="1"/>
  <c r="Y287" i="1"/>
  <c r="AF288" i="1"/>
  <c r="T290" i="1"/>
  <c r="AH291" i="1"/>
  <c r="Y293" i="1"/>
  <c r="W294" i="1"/>
  <c r="AH288" i="1"/>
  <c r="AF286" i="1"/>
  <c r="W288" i="1"/>
  <c r="AF290" i="1"/>
  <c r="T292" i="1"/>
  <c r="AH286" i="1"/>
  <c r="W287" i="1"/>
  <c r="T289" i="1"/>
  <c r="AH290" i="1"/>
  <c r="Y292" i="1"/>
  <c r="W293" i="1"/>
  <c r="AF295" i="1"/>
  <c r="W286" i="1"/>
  <c r="U287" i="1"/>
  <c r="W290" i="1"/>
  <c r="AF292" i="1"/>
  <c r="T294" i="1"/>
  <c r="U286" i="1"/>
  <c r="V287" i="1"/>
  <c r="M287" i="1" s="1"/>
  <c r="F287" i="1" s="1"/>
  <c r="AF289" i="1"/>
  <c r="T291" i="1"/>
  <c r="AH292" i="1"/>
  <c r="Y294" i="1"/>
  <c r="W295" i="1"/>
  <c r="AH278" i="1"/>
  <c r="AF276" i="1"/>
  <c r="W279" i="1"/>
  <c r="AF284" i="1"/>
  <c r="AH276" i="1"/>
  <c r="AH282" i="1"/>
  <c r="W276" i="1"/>
  <c r="AH280" i="1"/>
  <c r="W277" i="1"/>
  <c r="V277" i="1"/>
  <c r="M277" i="1" s="1"/>
  <c r="F277" i="1" s="1"/>
  <c r="AH284" i="1"/>
  <c r="AH277" i="1"/>
  <c r="AH281" i="1"/>
  <c r="W283" i="1"/>
  <c r="AF279" i="1"/>
  <c r="W281" i="1"/>
  <c r="U277" i="1"/>
  <c r="AH279" i="1"/>
  <c r="T280" i="1"/>
  <c r="Y282" i="1"/>
  <c r="U276" i="1"/>
  <c r="T278" i="1"/>
  <c r="Y280" i="1"/>
  <c r="W284" i="1"/>
  <c r="V276" i="1"/>
  <c r="M276" i="1" s="1"/>
  <c r="F276" i="1" s="1"/>
  <c r="Y278" i="1"/>
  <c r="Y283" i="1"/>
  <c r="Y285" i="1"/>
  <c r="AF282" i="1"/>
  <c r="AF280" i="1"/>
  <c r="AF278" i="1"/>
  <c r="W282" i="1"/>
  <c r="T285" i="1"/>
  <c r="W280" i="1"/>
  <c r="T283" i="1"/>
  <c r="T277" i="1"/>
  <c r="T281" i="1"/>
  <c r="AF285" i="1"/>
  <c r="T276" i="1"/>
  <c r="Y277" i="1"/>
  <c r="T279" i="1"/>
  <c r="Y281" i="1"/>
  <c r="AF283" i="1"/>
  <c r="T284" i="1"/>
  <c r="AH285" i="1"/>
  <c r="W278" i="1"/>
  <c r="Y276" i="1"/>
  <c r="AF277" i="1"/>
  <c r="Y279" i="1"/>
  <c r="AF281" i="1"/>
  <c r="T282" i="1"/>
  <c r="AH283" i="1"/>
  <c r="Y284" i="1"/>
  <c r="W285" i="1"/>
  <c r="AH263" i="1"/>
  <c r="AF265" i="1"/>
  <c r="AH269" i="1"/>
  <c r="AH265" i="1"/>
  <c r="AF273" i="1"/>
  <c r="V262" i="1"/>
  <c r="M262" i="1" s="1"/>
  <c r="F262" i="1" s="1"/>
  <c r="AH268" i="1"/>
  <c r="Y261" i="1"/>
  <c r="Y270" i="1"/>
  <c r="W261" i="1"/>
  <c r="Y271" i="1"/>
  <c r="AF262" i="1"/>
  <c r="AH273" i="1"/>
  <c r="AH262" i="1"/>
  <c r="Y267" i="1"/>
  <c r="AF274" i="1"/>
  <c r="V263" i="1"/>
  <c r="M263" i="1" s="1"/>
  <c r="F263" i="1" s="1"/>
  <c r="U261" i="1"/>
  <c r="AF266" i="1"/>
  <c r="U262" i="1"/>
  <c r="Y268" i="1"/>
  <c r="Y275" i="1"/>
  <c r="W264" i="1"/>
  <c r="T268" i="1"/>
  <c r="W272" i="1"/>
  <c r="AF261" i="1"/>
  <c r="W263" i="1"/>
  <c r="T265" i="1"/>
  <c r="AH266" i="1"/>
  <c r="W269" i="1"/>
  <c r="AF271" i="1"/>
  <c r="T273" i="1"/>
  <c r="AH274" i="1"/>
  <c r="AH261" i="1"/>
  <c r="W262" i="1"/>
  <c r="U263" i="1"/>
  <c r="Y265" i="1"/>
  <c r="W266" i="1"/>
  <c r="AF268" i="1"/>
  <c r="T270" i="1"/>
  <c r="AH271" i="1"/>
  <c r="Y273" i="1"/>
  <c r="W274" i="1"/>
  <c r="T275" i="1"/>
  <c r="T264" i="1"/>
  <c r="AF270" i="1"/>
  <c r="V261" i="1"/>
  <c r="M261" i="1" s="1"/>
  <c r="F261" i="1" s="1"/>
  <c r="T263" i="1"/>
  <c r="Y264" i="1"/>
  <c r="W265" i="1"/>
  <c r="AF267" i="1"/>
  <c r="T269" i="1"/>
  <c r="AH270" i="1"/>
  <c r="Y272" i="1"/>
  <c r="W273" i="1"/>
  <c r="AF275" i="1"/>
  <c r="T267" i="1"/>
  <c r="T272" i="1"/>
  <c r="T262" i="1"/>
  <c r="Y263" i="1"/>
  <c r="AF264" i="1"/>
  <c r="T266" i="1"/>
  <c r="AH267" i="1"/>
  <c r="Y269" i="1"/>
  <c r="W270" i="1"/>
  <c r="AF272" i="1"/>
  <c r="T274" i="1"/>
  <c r="AH275" i="1"/>
  <c r="W271" i="1"/>
  <c r="W268" i="1"/>
  <c r="T261" i="1"/>
  <c r="Y262" i="1"/>
  <c r="AF263" i="1"/>
  <c r="AH264" i="1"/>
  <c r="Y266" i="1"/>
  <c r="W267" i="1"/>
  <c r="AF269" i="1"/>
  <c r="T271" i="1"/>
  <c r="AH272" i="1"/>
  <c r="Y274" i="1"/>
  <c r="W275" i="1"/>
  <c r="T258" i="1"/>
  <c r="AF259" i="1"/>
  <c r="AH259" i="1"/>
  <c r="AF260" i="1"/>
  <c r="W259" i="1"/>
  <c r="AF258" i="1"/>
  <c r="T260" i="1"/>
  <c r="Y258" i="1"/>
  <c r="AH258" i="1"/>
  <c r="Y260" i="1"/>
  <c r="W258" i="1"/>
  <c r="T259" i="1"/>
  <c r="AH260" i="1"/>
  <c r="Y259" i="1"/>
  <c r="W260" i="1"/>
  <c r="T255" i="1"/>
  <c r="AF256" i="1"/>
  <c r="AH256" i="1"/>
  <c r="W256" i="1"/>
  <c r="T257" i="1"/>
  <c r="Y257" i="1"/>
  <c r="AF255" i="1"/>
  <c r="AF257" i="1"/>
  <c r="T256" i="1"/>
  <c r="AH257" i="1"/>
  <c r="Y255" i="1"/>
  <c r="AH255" i="1"/>
  <c r="W255" i="1"/>
  <c r="Y256" i="1"/>
  <c r="W257" i="1"/>
  <c r="T252" i="1"/>
  <c r="AF253" i="1"/>
  <c r="AH253" i="1"/>
  <c r="Y252" i="1"/>
  <c r="W253" i="1"/>
  <c r="AF252" i="1"/>
  <c r="T254" i="1"/>
  <c r="AH252" i="1"/>
  <c r="Y254" i="1"/>
  <c r="AF254" i="1"/>
  <c r="T253" i="1"/>
  <c r="AH254" i="1"/>
  <c r="W252" i="1"/>
  <c r="Y253" i="1"/>
  <c r="W254" i="1"/>
  <c r="W251" i="1"/>
  <c r="W249" i="1"/>
  <c r="W250" i="1"/>
  <c r="AH249" i="1"/>
  <c r="AH250" i="1"/>
  <c r="AH251" i="1"/>
  <c r="T249" i="1"/>
  <c r="T250" i="1"/>
  <c r="T251" i="1"/>
  <c r="AF250" i="1"/>
  <c r="Y251" i="1"/>
  <c r="AF251" i="1"/>
  <c r="Y249" i="1"/>
  <c r="AF249" i="1"/>
  <c r="Y250" i="1"/>
  <c r="W248" i="1"/>
  <c r="V248" i="1"/>
  <c r="M248" i="1" s="1"/>
  <c r="F248" i="1" s="1"/>
  <c r="V247" i="1"/>
  <c r="M247" i="1" s="1"/>
  <c r="F247" i="1" s="1"/>
  <c r="U247" i="1"/>
  <c r="U248" i="1"/>
  <c r="W247" i="1"/>
  <c r="Y248" i="1"/>
  <c r="T248" i="1"/>
  <c r="Y247" i="1"/>
  <c r="T247" i="1"/>
  <c r="AF248" i="1"/>
  <c r="AF247" i="1"/>
  <c r="W246" i="1"/>
  <c r="U246" i="1"/>
  <c r="V246" i="1"/>
  <c r="M246" i="1" s="1"/>
  <c r="F246" i="1" s="1"/>
  <c r="AF246" i="1"/>
  <c r="Y246" i="1"/>
  <c r="AH241" i="1"/>
  <c r="Y237" i="1"/>
  <c r="T237" i="1"/>
  <c r="T240" i="1"/>
  <c r="T238" i="1"/>
  <c r="Y241" i="1"/>
  <c r="AH242" i="1"/>
  <c r="Y238" i="1"/>
  <c r="W242" i="1"/>
  <c r="V236" i="1"/>
  <c r="M236" i="1" s="1"/>
  <c r="F236" i="1" s="1"/>
  <c r="AH238" i="1"/>
  <c r="T243" i="1"/>
  <c r="AH239" i="1"/>
  <c r="Y243" i="1"/>
  <c r="T236" i="1"/>
  <c r="W239" i="1"/>
  <c r="AH244" i="1"/>
  <c r="AF238" i="1"/>
  <c r="W244" i="1"/>
  <c r="AF243" i="1"/>
  <c r="AF236" i="1"/>
  <c r="AH237" i="1"/>
  <c r="W238" i="1"/>
  <c r="AF240" i="1"/>
  <c r="T242" i="1"/>
  <c r="AH243" i="1"/>
  <c r="Y245" i="1"/>
  <c r="AF244" i="1"/>
  <c r="AF241" i="1"/>
  <c r="Y236" i="1"/>
  <c r="AF237" i="1"/>
  <c r="Y240" i="1"/>
  <c r="W241" i="1"/>
  <c r="T245" i="1"/>
  <c r="AH236" i="1"/>
  <c r="W237" i="1"/>
  <c r="T239" i="1"/>
  <c r="AH240" i="1"/>
  <c r="Y242" i="1"/>
  <c r="W243" i="1"/>
  <c r="AF245" i="1"/>
  <c r="W236" i="1"/>
  <c r="U237" i="1"/>
  <c r="Y239" i="1"/>
  <c r="W240" i="1"/>
  <c r="AF242" i="1"/>
  <c r="T244" i="1"/>
  <c r="AH245" i="1"/>
  <c r="U236" i="1"/>
  <c r="V237" i="1"/>
  <c r="M237" i="1" s="1"/>
  <c r="F237" i="1" s="1"/>
  <c r="AF239" i="1"/>
  <c r="T241" i="1"/>
  <c r="Y244" i="1"/>
  <c r="W245" i="1"/>
  <c r="AH228" i="1"/>
  <c r="W228" i="1"/>
  <c r="T227" i="1"/>
  <c r="W230" i="1"/>
  <c r="T232" i="1"/>
  <c r="W232" i="1"/>
  <c r="AH227" i="1"/>
  <c r="Y231" i="1"/>
  <c r="T228" i="1"/>
  <c r="W231" i="1"/>
  <c r="Y226" i="1"/>
  <c r="AH229" i="1"/>
  <c r="T233" i="1"/>
  <c r="W226" i="1"/>
  <c r="W229" i="1"/>
  <c r="T234" i="1"/>
  <c r="V226" i="1"/>
  <c r="Y230" i="1"/>
  <c r="T235" i="1"/>
  <c r="Y228" i="1"/>
  <c r="AF231" i="1"/>
  <c r="AH234" i="1"/>
  <c r="T226" i="1"/>
  <c r="Y227" i="1"/>
  <c r="AF228" i="1"/>
  <c r="T230" i="1"/>
  <c r="AH231" i="1"/>
  <c r="Y233" i="1"/>
  <c r="W234" i="1"/>
  <c r="AF233" i="1"/>
  <c r="AF226" i="1"/>
  <c r="AF230" i="1"/>
  <c r="AH233" i="1"/>
  <c r="Y235" i="1"/>
  <c r="AH226" i="1"/>
  <c r="W227" i="1"/>
  <c r="T229" i="1"/>
  <c r="AH230" i="1"/>
  <c r="Y232" i="1"/>
  <c r="W233" i="1"/>
  <c r="AF235" i="1"/>
  <c r="U227" i="1"/>
  <c r="Y229" i="1"/>
  <c r="AF232" i="1"/>
  <c r="AH235" i="1"/>
  <c r="AF234" i="1"/>
  <c r="AF227" i="1"/>
  <c r="U226" i="1"/>
  <c r="V227" i="1"/>
  <c r="M227" i="1" s="1"/>
  <c r="F227" i="1" s="1"/>
  <c r="AF229" i="1"/>
  <c r="T231" i="1"/>
  <c r="AH232" i="1"/>
  <c r="Y234" i="1"/>
  <c r="W235" i="1"/>
  <c r="V216" i="1"/>
  <c r="M216" i="1" s="1"/>
  <c r="F216" i="1" s="1"/>
  <c r="Y218" i="1"/>
  <c r="Y216" i="1"/>
  <c r="AH218" i="1"/>
  <c r="AH219" i="1"/>
  <c r="AH223" i="1"/>
  <c r="W221" i="1"/>
  <c r="T222" i="1"/>
  <c r="W218" i="1"/>
  <c r="Y222" i="1"/>
  <c r="T219" i="1"/>
  <c r="W222" i="1"/>
  <c r="T217" i="1"/>
  <c r="W219" i="1"/>
  <c r="T223" i="1"/>
  <c r="AH217" i="1"/>
  <c r="Y220" i="1"/>
  <c r="T225" i="1"/>
  <c r="T218" i="1"/>
  <c r="Y221" i="1"/>
  <c r="Y225" i="1"/>
  <c r="AF224" i="1"/>
  <c r="AF221" i="1"/>
  <c r="AH224" i="1"/>
  <c r="T216" i="1"/>
  <c r="Y217" i="1"/>
  <c r="AF218" i="1"/>
  <c r="T220" i="1"/>
  <c r="AH221" i="1"/>
  <c r="Y223" i="1"/>
  <c r="W224" i="1"/>
  <c r="AF217" i="1"/>
  <c r="AF216" i="1"/>
  <c r="AF220" i="1"/>
  <c r="W223" i="1"/>
  <c r="AF225" i="1"/>
  <c r="AH216" i="1"/>
  <c r="W217" i="1"/>
  <c r="AH220" i="1"/>
  <c r="W216" i="1"/>
  <c r="U217" i="1"/>
  <c r="Y219" i="1"/>
  <c r="W220" i="1"/>
  <c r="AF222" i="1"/>
  <c r="T224" i="1"/>
  <c r="AH225" i="1"/>
  <c r="AF223" i="1"/>
  <c r="U216" i="1"/>
  <c r="V217" i="1"/>
  <c r="AF219" i="1"/>
  <c r="T221" i="1"/>
  <c r="AH222" i="1"/>
  <c r="Y224" i="1"/>
  <c r="W225" i="1"/>
  <c r="AH207" i="1"/>
  <c r="T208" i="1"/>
  <c r="W208" i="1"/>
  <c r="Y211" i="1"/>
  <c r="AH208" i="1"/>
  <c r="W212" i="1"/>
  <c r="T213" i="1"/>
  <c r="W211" i="1"/>
  <c r="Y208" i="1"/>
  <c r="T212" i="1"/>
  <c r="Y206" i="1"/>
  <c r="AH209" i="1"/>
  <c r="AH213" i="1"/>
  <c r="V206" i="1"/>
  <c r="M206" i="1" s="1"/>
  <c r="F206" i="1" s="1"/>
  <c r="W209" i="1"/>
  <c r="T215" i="1"/>
  <c r="T207" i="1"/>
  <c r="Y210" i="1"/>
  <c r="Y215" i="1"/>
  <c r="AF211" i="1"/>
  <c r="AH214" i="1"/>
  <c r="T206" i="1"/>
  <c r="Y207" i="1"/>
  <c r="AF208" i="1"/>
  <c r="T210" i="1"/>
  <c r="AH211" i="1"/>
  <c r="Y213" i="1"/>
  <c r="W214" i="1"/>
  <c r="AF214" i="1"/>
  <c r="AH206" i="1"/>
  <c r="W207" i="1"/>
  <c r="T209" i="1"/>
  <c r="AH210" i="1"/>
  <c r="Y212" i="1"/>
  <c r="W213" i="1"/>
  <c r="AF215" i="1"/>
  <c r="AF207" i="1"/>
  <c r="AF213" i="1"/>
  <c r="AF206" i="1"/>
  <c r="AF210" i="1"/>
  <c r="W206" i="1"/>
  <c r="U207" i="1"/>
  <c r="Y209" i="1"/>
  <c r="W210" i="1"/>
  <c r="AF212" i="1"/>
  <c r="T214" i="1"/>
  <c r="AH215" i="1"/>
  <c r="U206" i="1"/>
  <c r="V207" i="1"/>
  <c r="M207" i="1" s="1"/>
  <c r="F207" i="1" s="1"/>
  <c r="AF209" i="1"/>
  <c r="T211" i="1"/>
  <c r="AH212" i="1"/>
  <c r="Y214" i="1"/>
  <c r="W215" i="1"/>
  <c r="Y196" i="1"/>
  <c r="V196" i="1"/>
  <c r="M196" i="1" s="1"/>
  <c r="F196" i="1" s="1"/>
  <c r="AH198" i="1"/>
  <c r="AH199" i="1"/>
  <c r="W201" i="1"/>
  <c r="AH203" i="1"/>
  <c r="W198" i="1"/>
  <c r="T202" i="1"/>
  <c r="T199" i="1"/>
  <c r="W202" i="1"/>
  <c r="T197" i="1"/>
  <c r="Y200" i="1"/>
  <c r="T204" i="1"/>
  <c r="W199" i="1"/>
  <c r="AH197" i="1"/>
  <c r="W200" i="1"/>
  <c r="T205" i="1"/>
  <c r="T203" i="1"/>
  <c r="T198" i="1"/>
  <c r="Y201" i="1"/>
  <c r="Y205" i="1"/>
  <c r="AF204" i="1"/>
  <c r="Y198" i="1"/>
  <c r="AF201" i="1"/>
  <c r="AH204" i="1"/>
  <c r="T196" i="1"/>
  <c r="Y197" i="1"/>
  <c r="AF198" i="1"/>
  <c r="T200" i="1"/>
  <c r="AH201" i="1"/>
  <c r="Y203" i="1"/>
  <c r="W204" i="1"/>
  <c r="AF197" i="1"/>
  <c r="AF203" i="1"/>
  <c r="AH196" i="1"/>
  <c r="W197" i="1"/>
  <c r="AH200" i="1"/>
  <c r="Y202" i="1"/>
  <c r="W203" i="1"/>
  <c r="AF205" i="1"/>
  <c r="AF196" i="1"/>
  <c r="W196" i="1"/>
  <c r="U197" i="1"/>
  <c r="Y199" i="1"/>
  <c r="AF202" i="1"/>
  <c r="AH205" i="1"/>
  <c r="AF200" i="1"/>
  <c r="U196" i="1"/>
  <c r="V197" i="1"/>
  <c r="M197" i="1" s="1"/>
  <c r="F197" i="1" s="1"/>
  <c r="AF199" i="1"/>
  <c r="T201" i="1"/>
  <c r="AH202" i="1"/>
  <c r="Y204" i="1"/>
  <c r="W205" i="1"/>
  <c r="AH188" i="1"/>
  <c r="AF190" i="1"/>
  <c r="W192" i="1"/>
  <c r="AF193" i="1"/>
  <c r="T194" i="1"/>
  <c r="W188" i="1"/>
  <c r="W189" i="1"/>
  <c r="AH193" i="1"/>
  <c r="Y190" i="1"/>
  <c r="W193" i="1"/>
  <c r="AF186" i="1"/>
  <c r="W190" i="1"/>
  <c r="T195" i="1"/>
  <c r="Y186" i="1"/>
  <c r="AF187" i="1"/>
  <c r="W191" i="1"/>
  <c r="Y195" i="1"/>
  <c r="AH187" i="1"/>
  <c r="T192" i="1"/>
  <c r="W195" i="1"/>
  <c r="V186" i="1"/>
  <c r="M186" i="1" s="1"/>
  <c r="F186" i="1" s="1"/>
  <c r="T188" i="1"/>
  <c r="AH189" i="1"/>
  <c r="Y191" i="1"/>
  <c r="AF194" i="1"/>
  <c r="T187" i="1"/>
  <c r="Y188" i="1"/>
  <c r="AF191" i="1"/>
  <c r="T193" i="1"/>
  <c r="AH194" i="1"/>
  <c r="T186" i="1"/>
  <c r="Y187" i="1"/>
  <c r="AF188" i="1"/>
  <c r="T190" i="1"/>
  <c r="AH191" i="1"/>
  <c r="Y193" i="1"/>
  <c r="W194" i="1"/>
  <c r="AH186" i="1"/>
  <c r="W187" i="1"/>
  <c r="T189" i="1"/>
  <c r="AH190" i="1"/>
  <c r="Y192" i="1"/>
  <c r="AF195" i="1"/>
  <c r="W186" i="1"/>
  <c r="U187" i="1"/>
  <c r="Y189" i="1"/>
  <c r="AF192" i="1"/>
  <c r="AH195" i="1"/>
  <c r="U186" i="1"/>
  <c r="V187" i="1"/>
  <c r="M187" i="1" s="1"/>
  <c r="F187" i="1" s="1"/>
  <c r="AF189" i="1"/>
  <c r="T191" i="1"/>
  <c r="AH192" i="1"/>
  <c r="Y194" i="1"/>
  <c r="AF184" i="1"/>
  <c r="W184" i="1"/>
  <c r="AH184" i="1"/>
  <c r="AF185" i="1"/>
  <c r="T184" i="1"/>
  <c r="AH185" i="1"/>
  <c r="T185" i="1"/>
  <c r="Y185" i="1"/>
  <c r="Y184" i="1"/>
  <c r="W185" i="1"/>
  <c r="AF182" i="1"/>
  <c r="AF183" i="1"/>
  <c r="AH182" i="1"/>
  <c r="W182" i="1"/>
  <c r="T183" i="1"/>
  <c r="Y183" i="1"/>
  <c r="T182" i="1"/>
  <c r="AH183" i="1"/>
  <c r="Y182" i="1"/>
  <c r="W183" i="1"/>
  <c r="AF180" i="1"/>
  <c r="W180" i="1"/>
  <c r="T181" i="1"/>
  <c r="Y181" i="1"/>
  <c r="T180" i="1"/>
  <c r="AH181" i="1"/>
  <c r="AH180" i="1"/>
  <c r="AF181" i="1"/>
  <c r="Y180" i="1"/>
  <c r="W181" i="1"/>
  <c r="Y179" i="1"/>
  <c r="T179" i="1"/>
  <c r="Y178" i="1"/>
  <c r="T178" i="1"/>
  <c r="AF179" i="1"/>
  <c r="AF178" i="1"/>
  <c r="W179" i="1"/>
  <c r="W178" i="1"/>
  <c r="AH178" i="1"/>
  <c r="AH179" i="1"/>
  <c r="AF177" i="1"/>
  <c r="Y177" i="1"/>
  <c r="T177" i="1"/>
  <c r="V177" i="1"/>
  <c r="M177" i="1" s="1"/>
  <c r="F177" i="1" s="1"/>
  <c r="U177" i="1"/>
  <c r="U176" i="1"/>
  <c r="V176" i="1"/>
  <c r="M176" i="1" s="1"/>
  <c r="F176" i="1" s="1"/>
  <c r="W177" i="1"/>
  <c r="W176" i="1"/>
  <c r="AH176" i="1"/>
  <c r="AH177" i="1"/>
  <c r="X150" i="1"/>
  <c r="S150" i="1" s="1"/>
  <c r="X149" i="1"/>
  <c r="S149" i="1" s="1"/>
  <c r="X148" i="1"/>
  <c r="S148" i="1" s="1"/>
  <c r="X151" i="1"/>
  <c r="S151" i="1" s="1"/>
  <c r="X152" i="1"/>
  <c r="S152" i="1" s="1"/>
  <c r="X153" i="1"/>
  <c r="S153" i="1" s="1"/>
  <c r="X154" i="1"/>
  <c r="S154" i="1" s="1"/>
  <c r="X155" i="1"/>
  <c r="S155" i="1" s="1"/>
  <c r="X156" i="1"/>
  <c r="X157" i="1"/>
  <c r="X158" i="1"/>
  <c r="X159" i="1"/>
  <c r="X160" i="1"/>
  <c r="S160" i="1" s="1"/>
  <c r="X162" i="1"/>
  <c r="S162" i="1" s="1"/>
  <c r="X165" i="1"/>
  <c r="X161" i="1"/>
  <c r="S161" i="1" s="1"/>
  <c r="X163" i="1"/>
  <c r="S163" i="1" s="1"/>
  <c r="X164" i="1"/>
  <c r="S164" i="1" s="1"/>
  <c r="X166" i="1"/>
  <c r="X167" i="1"/>
  <c r="X171" i="1"/>
  <c r="S171" i="1" s="1"/>
  <c r="X170" i="1"/>
  <c r="S170" i="1" s="1"/>
  <c r="X169" i="1"/>
  <c r="S169" i="1" s="1"/>
  <c r="X168" i="1"/>
  <c r="X175" i="1"/>
  <c r="S175" i="1" s="1"/>
  <c r="X174" i="1"/>
  <c r="S174" i="1" s="1"/>
  <c r="X173" i="1"/>
  <c r="S173" i="1" s="1"/>
  <c r="AF176" i="1"/>
  <c r="Y176" i="1"/>
  <c r="W172" i="1"/>
  <c r="AH173" i="1"/>
  <c r="W173" i="1"/>
  <c r="W174" i="1"/>
  <c r="U173" i="1"/>
  <c r="AF172" i="1"/>
  <c r="Y175" i="1"/>
  <c r="AH172" i="1"/>
  <c r="AF175" i="1"/>
  <c r="V173" i="1"/>
  <c r="M173" i="1" s="1"/>
  <c r="F173" i="1" s="1"/>
  <c r="V172" i="1"/>
  <c r="M172" i="1" s="1"/>
  <c r="F172" i="1" s="1"/>
  <c r="T173" i="1"/>
  <c r="Y174" i="1"/>
  <c r="AH175" i="1"/>
  <c r="U172" i="1"/>
  <c r="T174" i="1"/>
  <c r="T172" i="1"/>
  <c r="Y173" i="1"/>
  <c r="AF174" i="1"/>
  <c r="W175" i="1"/>
  <c r="T175" i="1"/>
  <c r="Y172" i="1"/>
  <c r="AF173" i="1"/>
  <c r="AH174" i="1"/>
  <c r="AH168" i="1"/>
  <c r="W168" i="1"/>
  <c r="W169" i="1"/>
  <c r="AH169" i="1"/>
  <c r="W170" i="1"/>
  <c r="U169" i="1"/>
  <c r="AF168" i="1"/>
  <c r="AF171" i="1"/>
  <c r="U168" i="1"/>
  <c r="V169" i="1"/>
  <c r="M169" i="1" s="1"/>
  <c r="F169" i="1" s="1"/>
  <c r="Y171" i="1"/>
  <c r="Y170" i="1"/>
  <c r="AH171" i="1"/>
  <c r="T169" i="1"/>
  <c r="T168" i="1"/>
  <c r="Y169" i="1"/>
  <c r="AF170" i="1"/>
  <c r="W171" i="1"/>
  <c r="T171" i="1"/>
  <c r="V168" i="1"/>
  <c r="T170" i="1"/>
  <c r="Y168" i="1"/>
  <c r="AF169" i="1"/>
  <c r="AH170" i="1"/>
  <c r="AF164" i="1"/>
  <c r="T166" i="1"/>
  <c r="W166" i="1"/>
  <c r="AH165" i="1"/>
  <c r="Y167" i="1"/>
  <c r="AF167" i="1"/>
  <c r="AH164" i="1"/>
  <c r="W165" i="1"/>
  <c r="W164" i="1"/>
  <c r="U165" i="1"/>
  <c r="T167" i="1"/>
  <c r="V165" i="1"/>
  <c r="V164" i="1"/>
  <c r="M164" i="1" s="1"/>
  <c r="F164" i="1" s="1"/>
  <c r="T165" i="1"/>
  <c r="Y166" i="1"/>
  <c r="AH167" i="1"/>
  <c r="T164" i="1"/>
  <c r="Y165" i="1"/>
  <c r="AF166" i="1"/>
  <c r="W167" i="1"/>
  <c r="U164" i="1"/>
  <c r="Y164" i="1"/>
  <c r="AF165" i="1"/>
  <c r="AH166" i="1"/>
  <c r="AH160" i="1"/>
  <c r="W161" i="1"/>
  <c r="W160" i="1"/>
  <c r="AH161" i="1"/>
  <c r="W162" i="1"/>
  <c r="Y163" i="1"/>
  <c r="AF160" i="1"/>
  <c r="AF163" i="1"/>
  <c r="U160" i="1"/>
  <c r="V161" i="1"/>
  <c r="M161" i="1" s="1"/>
  <c r="F161" i="1" s="1"/>
  <c r="V160" i="1"/>
  <c r="M160" i="1" s="1"/>
  <c r="F160" i="1" s="1"/>
  <c r="T161" i="1"/>
  <c r="Y162" i="1"/>
  <c r="AH163" i="1"/>
  <c r="T160" i="1"/>
  <c r="Y161" i="1"/>
  <c r="AF162" i="1"/>
  <c r="W163" i="1"/>
  <c r="U161" i="1"/>
  <c r="T163" i="1"/>
  <c r="T162" i="1"/>
  <c r="Y160" i="1"/>
  <c r="AF161" i="1"/>
  <c r="AH162" i="1"/>
  <c r="AH156" i="1"/>
  <c r="W156" i="1"/>
  <c r="W157" i="1"/>
  <c r="AH157" i="1"/>
  <c r="W158" i="1"/>
  <c r="Y159" i="1"/>
  <c r="AF156" i="1"/>
  <c r="AF159" i="1"/>
  <c r="U157" i="1"/>
  <c r="T159" i="1"/>
  <c r="V156" i="1"/>
  <c r="M156" i="1" s="1"/>
  <c r="F156" i="1" s="1"/>
  <c r="T158" i="1"/>
  <c r="T157" i="1"/>
  <c r="Y158" i="1"/>
  <c r="AH159" i="1"/>
  <c r="T156" i="1"/>
  <c r="Y157" i="1"/>
  <c r="AF158" i="1"/>
  <c r="W159" i="1"/>
  <c r="U156" i="1"/>
  <c r="V157" i="1"/>
  <c r="M157" i="1" s="1"/>
  <c r="F157" i="1" s="1"/>
  <c r="Y156" i="1"/>
  <c r="AF157" i="1"/>
  <c r="AH158" i="1"/>
  <c r="AH152" i="1"/>
  <c r="T153" i="1"/>
  <c r="AH153" i="1"/>
  <c r="W153" i="1"/>
  <c r="AH154" i="1"/>
  <c r="W154" i="1"/>
  <c r="Y152" i="1"/>
  <c r="W152" i="1"/>
  <c r="U153" i="1"/>
  <c r="T155" i="1"/>
  <c r="AF152" i="1"/>
  <c r="U152" i="1"/>
  <c r="V153" i="1"/>
  <c r="M153" i="1" s="1"/>
  <c r="F153" i="1" s="1"/>
  <c r="Y155" i="1"/>
  <c r="V152" i="1"/>
  <c r="M152" i="1" s="1"/>
  <c r="F152" i="1" s="1"/>
  <c r="T154" i="1"/>
  <c r="AF155" i="1"/>
  <c r="Y154" i="1"/>
  <c r="AH155" i="1"/>
  <c r="T152" i="1"/>
  <c r="Y153" i="1"/>
  <c r="AF154" i="1"/>
  <c r="W155" i="1"/>
  <c r="AF153" i="1"/>
  <c r="W151" i="1"/>
  <c r="T150" i="1"/>
  <c r="Y150" i="1"/>
  <c r="AH150" i="1"/>
  <c r="Y151" i="1"/>
  <c r="AF151" i="1"/>
  <c r="AF150" i="1"/>
  <c r="T151" i="1"/>
  <c r="AH151" i="1"/>
  <c r="Y149" i="1"/>
  <c r="T149" i="1"/>
  <c r="AF149" i="1"/>
  <c r="V149" i="1"/>
  <c r="M149" i="1" s="1"/>
  <c r="F149" i="1" s="1"/>
  <c r="U149" i="1"/>
  <c r="W149" i="1"/>
  <c r="W150" i="1"/>
  <c r="U148" i="1"/>
  <c r="V148" i="1"/>
  <c r="M148" i="1" s="1"/>
  <c r="F148" i="1" s="1"/>
  <c r="W148" i="1"/>
  <c r="AF148" i="1"/>
  <c r="Y148" i="1"/>
  <c r="Y144" i="1"/>
  <c r="AF144" i="1"/>
  <c r="W143" i="1"/>
  <c r="AF146" i="1"/>
  <c r="Y147" i="1"/>
  <c r="AF147" i="1"/>
  <c r="AH146" i="1"/>
  <c r="U143" i="1"/>
  <c r="Y145" i="1"/>
  <c r="W146" i="1"/>
  <c r="T144" i="1"/>
  <c r="AH145" i="1"/>
  <c r="T143" i="1"/>
  <c r="AH143" i="1"/>
  <c r="W144" i="1"/>
  <c r="T145" i="1"/>
  <c r="V143" i="1"/>
  <c r="M143" i="1" s="1"/>
  <c r="F143" i="1" s="1"/>
  <c r="AF145" i="1"/>
  <c r="T147" i="1"/>
  <c r="W145" i="1"/>
  <c r="Y143" i="1"/>
  <c r="T146" i="1"/>
  <c r="AH147" i="1"/>
  <c r="AF143" i="1"/>
  <c r="AH144" i="1"/>
  <c r="Y146" i="1"/>
  <c r="W147" i="1"/>
  <c r="U138" i="1"/>
  <c r="T140" i="1"/>
  <c r="V138" i="1"/>
  <c r="M138" i="1" s="1"/>
  <c r="F138" i="1" s="1"/>
  <c r="W139" i="1"/>
  <c r="AH141" i="1"/>
  <c r="AH138" i="1"/>
  <c r="W141" i="1"/>
  <c r="AF141" i="1"/>
  <c r="W138" i="1"/>
  <c r="T142" i="1"/>
  <c r="AF140" i="1"/>
  <c r="AH140" i="1"/>
  <c r="Y139" i="1"/>
  <c r="Y138" i="1"/>
  <c r="AF139" i="1"/>
  <c r="T141" i="1"/>
  <c r="AH142" i="1"/>
  <c r="Y140" i="1"/>
  <c r="T139" i="1"/>
  <c r="Y142" i="1"/>
  <c r="T138" i="1"/>
  <c r="W140" i="1"/>
  <c r="AF142" i="1"/>
  <c r="AF138" i="1"/>
  <c r="AH139" i="1"/>
  <c r="Y141" i="1"/>
  <c r="W142" i="1"/>
  <c r="U133" i="1"/>
  <c r="T135" i="1"/>
  <c r="V133" i="1"/>
  <c r="M133" i="1" s="1"/>
  <c r="F133" i="1" s="1"/>
  <c r="W134" i="1"/>
  <c r="AH136" i="1"/>
  <c r="AF136" i="1"/>
  <c r="AH133" i="1"/>
  <c r="W136" i="1"/>
  <c r="W133" i="1"/>
  <c r="T137" i="1"/>
  <c r="Y135" i="1"/>
  <c r="AF135" i="1"/>
  <c r="AH135" i="1"/>
  <c r="T133" i="1"/>
  <c r="AF137" i="1"/>
  <c r="Y133" i="1"/>
  <c r="AF134" i="1"/>
  <c r="T136" i="1"/>
  <c r="AH137" i="1"/>
  <c r="T134" i="1"/>
  <c r="Y137" i="1"/>
  <c r="Y134" i="1"/>
  <c r="W135" i="1"/>
  <c r="AF133" i="1"/>
  <c r="AH134" i="1"/>
  <c r="Y136" i="1"/>
  <c r="W137" i="1"/>
  <c r="Y126" i="1"/>
  <c r="T129" i="1"/>
  <c r="W129" i="1"/>
  <c r="T130" i="1"/>
  <c r="Y127" i="1"/>
  <c r="AH130" i="1"/>
  <c r="T131" i="1"/>
  <c r="AH128" i="1"/>
  <c r="AH131" i="1"/>
  <c r="W128" i="1"/>
  <c r="T132" i="1"/>
  <c r="V128" i="1"/>
  <c r="M128" i="1" s="1"/>
  <c r="F128" i="1" s="1"/>
  <c r="Y132" i="1"/>
  <c r="U128" i="1"/>
  <c r="Y130" i="1"/>
  <c r="W131" i="1"/>
  <c r="T128" i="1"/>
  <c r="Y129" i="1"/>
  <c r="W130" i="1"/>
  <c r="AF132" i="1"/>
  <c r="AF131" i="1"/>
  <c r="Y128" i="1"/>
  <c r="AF129" i="1"/>
  <c r="AH132" i="1"/>
  <c r="AF130" i="1"/>
  <c r="AF128" i="1"/>
  <c r="AH129" i="1"/>
  <c r="Y131" i="1"/>
  <c r="W132" i="1"/>
  <c r="T127" i="1"/>
  <c r="T126" i="1"/>
  <c r="T125" i="1"/>
  <c r="Y125" i="1"/>
  <c r="Y124" i="1"/>
  <c r="T124" i="1"/>
  <c r="W127" i="1"/>
  <c r="W126" i="1"/>
  <c r="W125" i="1"/>
  <c r="AH127" i="1"/>
  <c r="AH126" i="1"/>
  <c r="W124" i="1"/>
  <c r="AH125" i="1"/>
  <c r="AH124" i="1"/>
  <c r="AF127" i="1"/>
  <c r="AF126" i="1"/>
  <c r="AF125" i="1"/>
  <c r="AF124" i="1"/>
  <c r="W123" i="1"/>
  <c r="U123" i="1"/>
  <c r="V123" i="1"/>
  <c r="M123" i="1" s="1"/>
  <c r="F123" i="1" s="1"/>
  <c r="AH123" i="1"/>
  <c r="AF123" i="1"/>
  <c r="Y123" i="1"/>
  <c r="U121" i="1"/>
  <c r="V121" i="1"/>
  <c r="M121" i="1" s="1"/>
  <c r="F121" i="1" s="1"/>
  <c r="Y121" i="1"/>
  <c r="Y122" i="1"/>
  <c r="AF122" i="1"/>
  <c r="AH122" i="1"/>
  <c r="AH121" i="1"/>
  <c r="W122" i="1"/>
  <c r="T122" i="1"/>
  <c r="T121" i="1"/>
  <c r="AF121" i="1"/>
  <c r="W121" i="1"/>
  <c r="U119" i="1"/>
  <c r="Y119" i="1"/>
  <c r="V119" i="1"/>
  <c r="M119" i="1" s="1"/>
  <c r="F119" i="1" s="1"/>
  <c r="Y120" i="1"/>
  <c r="T119" i="1"/>
  <c r="AF119" i="1"/>
  <c r="AH119" i="1"/>
  <c r="W120" i="1"/>
  <c r="T120" i="1"/>
  <c r="AF120" i="1"/>
  <c r="AH120" i="1"/>
  <c r="W119" i="1"/>
  <c r="Y117" i="1"/>
  <c r="Y118" i="1"/>
  <c r="U117" i="1"/>
  <c r="V117" i="1"/>
  <c r="M117" i="1" s="1"/>
  <c r="F117" i="1" s="1"/>
  <c r="AF117" i="1"/>
  <c r="AH118" i="1"/>
  <c r="AF118" i="1"/>
  <c r="AH117" i="1"/>
  <c r="W118" i="1"/>
  <c r="T118" i="1"/>
  <c r="T117" i="1"/>
  <c r="W117" i="1"/>
  <c r="U115" i="1"/>
  <c r="Y116" i="1"/>
  <c r="T115" i="1"/>
  <c r="AF116" i="1"/>
  <c r="V115" i="1"/>
  <c r="M115" i="1" s="1"/>
  <c r="F115" i="1" s="1"/>
  <c r="T116" i="1"/>
  <c r="Y115" i="1"/>
  <c r="AF115" i="1"/>
  <c r="AH116" i="1"/>
  <c r="AH115" i="1"/>
  <c r="W116" i="1"/>
  <c r="W115" i="1"/>
  <c r="AH114" i="1"/>
  <c r="AF114" i="1"/>
  <c r="Y114" i="1"/>
  <c r="T114" i="1"/>
  <c r="U113" i="1"/>
  <c r="V113" i="1"/>
  <c r="M113" i="1" s="1"/>
  <c r="F113" i="1" s="1"/>
  <c r="W113" i="1"/>
  <c r="AH113" i="1"/>
  <c r="AF113" i="1"/>
  <c r="Y113" i="1"/>
  <c r="Y110" i="1"/>
  <c r="AH110" i="1"/>
  <c r="W110" i="1"/>
  <c r="AH111" i="1"/>
  <c r="T112" i="1"/>
  <c r="AF110" i="1"/>
  <c r="U110" i="1"/>
  <c r="Y112" i="1"/>
  <c r="T111" i="1"/>
  <c r="AH112" i="1"/>
  <c r="AF111" i="1"/>
  <c r="W111" i="1"/>
  <c r="V110" i="1"/>
  <c r="M110" i="1" s="1"/>
  <c r="F110" i="1" s="1"/>
  <c r="AF112" i="1"/>
  <c r="T110" i="1"/>
  <c r="Y111" i="1"/>
  <c r="W112" i="1"/>
  <c r="AH107" i="1"/>
  <c r="W107" i="1"/>
  <c r="T109" i="1"/>
  <c r="Y107" i="1"/>
  <c r="AH108" i="1"/>
  <c r="Y109" i="1"/>
  <c r="V107" i="1"/>
  <c r="AF109" i="1"/>
  <c r="AF107" i="1"/>
  <c r="T108" i="1"/>
  <c r="AH109" i="1"/>
  <c r="AF108" i="1"/>
  <c r="W108" i="1"/>
  <c r="U107" i="1"/>
  <c r="T107" i="1"/>
  <c r="Y108" i="1"/>
  <c r="W109" i="1"/>
  <c r="Y104" i="1"/>
  <c r="AH105" i="1"/>
  <c r="W104" i="1"/>
  <c r="T106" i="1"/>
  <c r="Y106" i="1"/>
  <c r="AF105" i="1"/>
  <c r="AF104" i="1"/>
  <c r="AH104" i="1"/>
  <c r="W105" i="1"/>
  <c r="T105" i="1"/>
  <c r="AH106" i="1"/>
  <c r="U104" i="1"/>
  <c r="V104" i="1"/>
  <c r="M104" i="1" s="1"/>
  <c r="F104" i="1" s="1"/>
  <c r="AF106" i="1"/>
  <c r="T104" i="1"/>
  <c r="Y105" i="1"/>
  <c r="W106" i="1"/>
  <c r="AH101" i="1"/>
  <c r="Y101" i="1"/>
  <c r="W101" i="1"/>
  <c r="AH102" i="1"/>
  <c r="T103" i="1"/>
  <c r="Y103" i="1"/>
  <c r="T102" i="1"/>
  <c r="AH103" i="1"/>
  <c r="AF102" i="1"/>
  <c r="AF101" i="1"/>
  <c r="W102" i="1"/>
  <c r="U101" i="1"/>
  <c r="V101" i="1"/>
  <c r="M101" i="1" s="1"/>
  <c r="F101" i="1" s="1"/>
  <c r="AF103" i="1"/>
  <c r="T101" i="1"/>
  <c r="Y102" i="1"/>
  <c r="W103" i="1"/>
  <c r="AH98" i="1"/>
  <c r="Y98" i="1"/>
  <c r="AH99" i="1"/>
  <c r="W98" i="1"/>
  <c r="T100" i="1"/>
  <c r="Y100" i="1"/>
  <c r="AF99" i="1"/>
  <c r="AF98" i="1"/>
  <c r="T99" i="1"/>
  <c r="AH100" i="1"/>
  <c r="W99" i="1"/>
  <c r="U98" i="1"/>
  <c r="V98" i="1"/>
  <c r="M98" i="1" s="1"/>
  <c r="F98" i="1" s="1"/>
  <c r="AF100" i="1"/>
  <c r="T98" i="1"/>
  <c r="Y99" i="1"/>
  <c r="W100" i="1"/>
  <c r="T95" i="1"/>
  <c r="Y95" i="1"/>
  <c r="W95" i="1"/>
  <c r="T96" i="1"/>
  <c r="T97" i="1"/>
  <c r="W97" i="1"/>
  <c r="AF96" i="1"/>
  <c r="AF95" i="1"/>
  <c r="AH96" i="1"/>
  <c r="AH95" i="1"/>
  <c r="W96" i="1"/>
  <c r="U95" i="1"/>
  <c r="Y97" i="1"/>
  <c r="V95" i="1"/>
  <c r="M95" i="1" s="1"/>
  <c r="F95" i="1" s="1"/>
  <c r="AF97" i="1"/>
  <c r="AH97" i="1"/>
  <c r="Y96" i="1"/>
  <c r="T94" i="1"/>
  <c r="T93" i="1"/>
  <c r="Y94" i="1"/>
  <c r="Y93" i="1"/>
  <c r="AH93" i="1"/>
  <c r="AF94" i="1"/>
  <c r="AF93" i="1"/>
  <c r="AH94" i="1"/>
  <c r="W94" i="1"/>
  <c r="W93" i="1"/>
  <c r="U92" i="1"/>
  <c r="V92" i="1"/>
  <c r="W92" i="1"/>
  <c r="AF92" i="1"/>
  <c r="Y92" i="1"/>
  <c r="Y86" i="1"/>
  <c r="AG88" i="1"/>
  <c r="AH88" i="1"/>
  <c r="AH84" i="1"/>
  <c r="Y90" i="1"/>
  <c r="AI84" i="1"/>
  <c r="AI88" i="1"/>
  <c r="AF86" i="1"/>
  <c r="AF90" i="1"/>
  <c r="AI86" i="1"/>
  <c r="AI90" i="1"/>
  <c r="AF85" i="1"/>
  <c r="AF89" i="1"/>
  <c r="AF87" i="1"/>
  <c r="AF91" i="1"/>
  <c r="T84" i="1"/>
  <c r="V85" i="1"/>
  <c r="T88" i="1"/>
  <c r="V89" i="1"/>
  <c r="Y84" i="1"/>
  <c r="T85" i="1"/>
  <c r="AI85" i="1"/>
  <c r="T87" i="1"/>
  <c r="Y88" i="1"/>
  <c r="T89" i="1"/>
  <c r="AI89" i="1"/>
  <c r="T91" i="1"/>
  <c r="AF84" i="1"/>
  <c r="Y85" i="1"/>
  <c r="T86" i="1"/>
  <c r="Y87" i="1"/>
  <c r="AF88" i="1"/>
  <c r="Y89" i="1"/>
  <c r="T90" i="1"/>
  <c r="Y91" i="1"/>
  <c r="AG87" i="1"/>
  <c r="AG91" i="1"/>
  <c r="W84" i="1"/>
  <c r="AH85" i="1"/>
  <c r="AG86" i="1"/>
  <c r="AH87" i="1"/>
  <c r="W88" i="1"/>
  <c r="AH89" i="1"/>
  <c r="AG90" i="1"/>
  <c r="AH91" i="1"/>
  <c r="AG84" i="1"/>
  <c r="AG85" i="1"/>
  <c r="U84" i="1"/>
  <c r="W85" i="1"/>
  <c r="AH86" i="1"/>
  <c r="W87" i="1"/>
  <c r="U88" i="1"/>
  <c r="W89" i="1"/>
  <c r="AH90" i="1"/>
  <c r="W91" i="1"/>
  <c r="AG89" i="1"/>
  <c r="V84" i="1"/>
  <c r="M84" i="1" s="1"/>
  <c r="F84" i="1" s="1"/>
  <c r="U85" i="1"/>
  <c r="W86" i="1"/>
  <c r="AI87" i="1"/>
  <c r="V88" i="1"/>
  <c r="U89" i="1"/>
  <c r="W90" i="1"/>
  <c r="AI91" i="1"/>
  <c r="Y78" i="1"/>
  <c r="AF78" i="1"/>
  <c r="AF79" i="1"/>
  <c r="AF81" i="1"/>
  <c r="AI78" i="1"/>
  <c r="AI80" i="1"/>
  <c r="Y82" i="1"/>
  <c r="AF82" i="1"/>
  <c r="W78" i="1"/>
  <c r="AI81" i="1"/>
  <c r="AI76" i="1"/>
  <c r="AI79" i="1"/>
  <c r="AI82" i="1"/>
  <c r="AF77" i="1"/>
  <c r="AG80" i="1"/>
  <c r="AF83" i="1"/>
  <c r="AH76" i="1"/>
  <c r="AI77" i="1"/>
  <c r="AH80" i="1"/>
  <c r="AI83" i="1"/>
  <c r="T76" i="1"/>
  <c r="V77" i="1"/>
  <c r="M77" i="1" s="1"/>
  <c r="F77" i="1" s="1"/>
  <c r="T80" i="1"/>
  <c r="V81" i="1"/>
  <c r="M81" i="1" s="1"/>
  <c r="F81" i="1" s="1"/>
  <c r="Y76" i="1"/>
  <c r="T77" i="1"/>
  <c r="T79" i="1"/>
  <c r="Y80" i="1"/>
  <c r="T81" i="1"/>
  <c r="T83" i="1"/>
  <c r="AF76" i="1"/>
  <c r="Y77" i="1"/>
  <c r="T78" i="1"/>
  <c r="Y79" i="1"/>
  <c r="AF80" i="1"/>
  <c r="Y81" i="1"/>
  <c r="T82" i="1"/>
  <c r="Y83" i="1"/>
  <c r="AG76" i="1"/>
  <c r="AG77" i="1"/>
  <c r="AG79" i="1"/>
  <c r="AG81" i="1"/>
  <c r="AG83" i="1"/>
  <c r="W76" i="1"/>
  <c r="AH77" i="1"/>
  <c r="AG78" i="1"/>
  <c r="AH79" i="1"/>
  <c r="W80" i="1"/>
  <c r="AH81" i="1"/>
  <c r="AG82" i="1"/>
  <c r="AH83" i="1"/>
  <c r="U76" i="1"/>
  <c r="W77" i="1"/>
  <c r="AH78" i="1"/>
  <c r="W79" i="1"/>
  <c r="U80" i="1"/>
  <c r="W81" i="1"/>
  <c r="AH82" i="1"/>
  <c r="W83" i="1"/>
  <c r="V76" i="1"/>
  <c r="M76" i="1" s="1"/>
  <c r="F76" i="1" s="1"/>
  <c r="U77" i="1"/>
  <c r="V80" i="1"/>
  <c r="M80" i="1" s="1"/>
  <c r="F80" i="1" s="1"/>
  <c r="U81" i="1"/>
  <c r="W82" i="1"/>
  <c r="V69" i="1"/>
  <c r="M69" i="1" s="1"/>
  <c r="F69" i="1" s="1"/>
  <c r="Y70" i="1"/>
  <c r="AF71" i="1"/>
  <c r="AF73" i="1"/>
  <c r="U72" i="1"/>
  <c r="Y74" i="1"/>
  <c r="AF74" i="1"/>
  <c r="AF70" i="1"/>
  <c r="V73" i="1"/>
  <c r="M73" i="1" s="1"/>
  <c r="F73" i="1" s="1"/>
  <c r="U68" i="1"/>
  <c r="W71" i="1"/>
  <c r="AH74" i="1"/>
  <c r="AH70" i="1"/>
  <c r="AH68" i="1"/>
  <c r="AI68" i="1"/>
  <c r="AG72" i="1"/>
  <c r="AF75" i="1"/>
  <c r="AF69" i="1"/>
  <c r="AH72" i="1"/>
  <c r="W75" i="1"/>
  <c r="T68" i="1"/>
  <c r="AI70" i="1"/>
  <c r="T72" i="1"/>
  <c r="AI72" i="1"/>
  <c r="AI74" i="1"/>
  <c r="Y68" i="1"/>
  <c r="T69" i="1"/>
  <c r="AI69" i="1"/>
  <c r="T71" i="1"/>
  <c r="Y72" i="1"/>
  <c r="T73" i="1"/>
  <c r="AI73" i="1"/>
  <c r="T75" i="1"/>
  <c r="AF68" i="1"/>
  <c r="Y69" i="1"/>
  <c r="T70" i="1"/>
  <c r="Y71" i="1"/>
  <c r="AF72" i="1"/>
  <c r="Y73" i="1"/>
  <c r="T74" i="1"/>
  <c r="Y75" i="1"/>
  <c r="AG69" i="1"/>
  <c r="AG71" i="1"/>
  <c r="AG73" i="1"/>
  <c r="AG75" i="1"/>
  <c r="W68" i="1"/>
  <c r="AH69" i="1"/>
  <c r="AG70" i="1"/>
  <c r="AH71" i="1"/>
  <c r="W72" i="1"/>
  <c r="AH73" i="1"/>
  <c r="AG74" i="1"/>
  <c r="AH75" i="1"/>
  <c r="AG68" i="1"/>
  <c r="W69" i="1"/>
  <c r="W73" i="1"/>
  <c r="V68" i="1"/>
  <c r="M68" i="1" s="1"/>
  <c r="F68" i="1" s="1"/>
  <c r="U69" i="1"/>
  <c r="W70" i="1"/>
  <c r="AI71" i="1"/>
  <c r="V72" i="1"/>
  <c r="M72" i="1" s="1"/>
  <c r="F72" i="1" s="1"/>
  <c r="U73" i="1"/>
  <c r="W74" i="1"/>
  <c r="AI75" i="1"/>
  <c r="AH61" i="1"/>
  <c r="AH65" i="1"/>
  <c r="W61" i="1"/>
  <c r="W60" i="1"/>
  <c r="AF65" i="1"/>
  <c r="AG64" i="1"/>
  <c r="U60" i="1"/>
  <c r="AH64" i="1"/>
  <c r="AF61" i="1"/>
  <c r="W64" i="1"/>
  <c r="Y62" i="1"/>
  <c r="Y66" i="1"/>
  <c r="AF62" i="1"/>
  <c r="AF66" i="1"/>
  <c r="AH60" i="1"/>
  <c r="AF63" i="1"/>
  <c r="AF67" i="1"/>
  <c r="AG60" i="1"/>
  <c r="AG63" i="1"/>
  <c r="AG65" i="1"/>
  <c r="T60" i="1"/>
  <c r="AI60" i="1"/>
  <c r="V61" i="1"/>
  <c r="M61" i="1" s="1"/>
  <c r="F61" i="1" s="1"/>
  <c r="AI62" i="1"/>
  <c r="T64" i="1"/>
  <c r="AI64" i="1"/>
  <c r="V65" i="1"/>
  <c r="M65" i="1" s="1"/>
  <c r="F65" i="1" s="1"/>
  <c r="AI66" i="1"/>
  <c r="Y60" i="1"/>
  <c r="T61" i="1"/>
  <c r="AI61" i="1"/>
  <c r="T63" i="1"/>
  <c r="Y64" i="1"/>
  <c r="T65" i="1"/>
  <c r="AI65" i="1"/>
  <c r="T67" i="1"/>
  <c r="AF60" i="1"/>
  <c r="Y61" i="1"/>
  <c r="T62" i="1"/>
  <c r="Y63" i="1"/>
  <c r="AF64" i="1"/>
  <c r="Y65" i="1"/>
  <c r="T66" i="1"/>
  <c r="Y67" i="1"/>
  <c r="AG62" i="1"/>
  <c r="AH63" i="1"/>
  <c r="AG66" i="1"/>
  <c r="AH67" i="1"/>
  <c r="AH62" i="1"/>
  <c r="W63" i="1"/>
  <c r="U64" i="1"/>
  <c r="W65" i="1"/>
  <c r="AH66" i="1"/>
  <c r="W67" i="1"/>
  <c r="AG61" i="1"/>
  <c r="AG67" i="1"/>
  <c r="V60" i="1"/>
  <c r="M60" i="1" s="1"/>
  <c r="F60" i="1" s="1"/>
  <c r="U61" i="1"/>
  <c r="W62" i="1"/>
  <c r="AI63" i="1"/>
  <c r="V64" i="1"/>
  <c r="M64" i="1" s="1"/>
  <c r="F64" i="1" s="1"/>
  <c r="U65" i="1"/>
  <c r="W66" i="1"/>
  <c r="AI67" i="1"/>
  <c r="AG59" i="1"/>
  <c r="AG58" i="1"/>
  <c r="AG57" i="1"/>
  <c r="T56" i="1"/>
  <c r="V57" i="1"/>
  <c r="M57" i="1" s="1"/>
  <c r="F57" i="1" s="1"/>
  <c r="Y56" i="1"/>
  <c r="T57" i="1"/>
  <c r="Y57" i="1"/>
  <c r="AH57" i="1"/>
  <c r="T58" i="1"/>
  <c r="Y58" i="1"/>
  <c r="AI57" i="1"/>
  <c r="T59" i="1"/>
  <c r="AF57" i="1"/>
  <c r="Y59" i="1"/>
  <c r="AH58" i="1"/>
  <c r="AF56" i="1"/>
  <c r="U56" i="1"/>
  <c r="AF58" i="1"/>
  <c r="AH56" i="1"/>
  <c r="AI56" i="1"/>
  <c r="AF59" i="1"/>
  <c r="V56" i="1"/>
  <c r="M56" i="1" s="1"/>
  <c r="F56" i="1" s="1"/>
  <c r="W58" i="1"/>
  <c r="AI58" i="1"/>
  <c r="W56" i="1"/>
  <c r="W57" i="1"/>
  <c r="W59" i="1"/>
  <c r="AH59" i="1"/>
  <c r="U57" i="1"/>
  <c r="AI59" i="1"/>
  <c r="AI55" i="1"/>
  <c r="AG55" i="1"/>
  <c r="W55" i="1"/>
  <c r="AH55" i="1"/>
  <c r="AF55" i="1"/>
  <c r="Y55" i="1"/>
  <c r="T55" i="1"/>
  <c r="AI54" i="1"/>
  <c r="W54" i="1"/>
  <c r="AH54" i="1"/>
  <c r="AG54" i="1"/>
  <c r="AF54" i="1"/>
  <c r="Y54" i="1"/>
  <c r="T54" i="1"/>
  <c r="Y53" i="1"/>
  <c r="T53" i="1"/>
  <c r="AF53" i="1"/>
  <c r="AG53" i="1"/>
  <c r="V53" i="1"/>
  <c r="M53" i="1" s="1"/>
  <c r="F53" i="1" s="1"/>
  <c r="AI53" i="1"/>
  <c r="W53" i="1"/>
  <c r="U53" i="1"/>
  <c r="V52" i="1"/>
  <c r="M52" i="1" s="1"/>
  <c r="F52" i="1" s="1"/>
  <c r="U52" i="1"/>
  <c r="W52" i="1"/>
  <c r="W50" i="1"/>
  <c r="AF50" i="1"/>
  <c r="AH50" i="1"/>
  <c r="AI50" i="1"/>
  <c r="W51" i="1"/>
  <c r="AI51" i="1"/>
  <c r="T51" i="1"/>
  <c r="Y51" i="1"/>
  <c r="T50" i="1"/>
  <c r="AG51" i="1"/>
  <c r="AG50" i="1"/>
  <c r="AF51" i="1"/>
  <c r="Y50" i="1"/>
  <c r="AH51" i="1"/>
  <c r="U49" i="1"/>
  <c r="W49" i="1"/>
  <c r="V49" i="1"/>
  <c r="M49" i="1" s="1"/>
  <c r="F49" i="1" s="1"/>
  <c r="AH49" i="1"/>
  <c r="AG49" i="1"/>
  <c r="T49" i="1"/>
  <c r="Y49" i="1"/>
  <c r="AF49" i="1"/>
  <c r="AI46" i="1"/>
  <c r="AI47" i="1"/>
  <c r="AI42" i="1"/>
  <c r="AI43" i="1"/>
  <c r="AI38" i="1"/>
  <c r="AI39" i="1"/>
  <c r="AI35" i="1"/>
  <c r="AI34" i="1"/>
  <c r="AI27" i="1"/>
  <c r="AI28" i="1"/>
  <c r="AI29" i="1"/>
  <c r="AI21" i="1"/>
  <c r="AI22" i="1"/>
  <c r="AI23" i="1"/>
  <c r="AI16" i="1"/>
  <c r="AI15" i="1"/>
  <c r="AI17" i="1"/>
  <c r="AI11" i="1"/>
  <c r="AI9" i="1"/>
  <c r="AI10" i="1"/>
  <c r="AI5" i="1"/>
  <c r="U48" i="1"/>
  <c r="V48" i="1"/>
  <c r="M48" i="1" s="1"/>
  <c r="F48" i="1" s="1"/>
  <c r="U41" i="1"/>
  <c r="U44" i="1"/>
  <c r="V40" i="1"/>
  <c r="M40" i="1" s="1"/>
  <c r="F40" i="1" s="1"/>
  <c r="U45" i="1"/>
  <c r="V44" i="1"/>
  <c r="M44" i="1" s="1"/>
  <c r="F44" i="1" s="1"/>
  <c r="V45" i="1"/>
  <c r="M45" i="1" s="1"/>
  <c r="F45" i="1" s="1"/>
  <c r="U40" i="1"/>
  <c r="V41" i="1"/>
  <c r="M41" i="1" s="1"/>
  <c r="F41" i="1" s="1"/>
  <c r="V37" i="1"/>
  <c r="M37" i="1" s="1"/>
  <c r="F37" i="1" s="1"/>
  <c r="U37" i="1"/>
  <c r="U36" i="1"/>
  <c r="V36" i="1"/>
  <c r="M36" i="1" s="1"/>
  <c r="F36" i="1" s="1"/>
  <c r="V33" i="1"/>
  <c r="M33" i="1" s="1"/>
  <c r="F33" i="1" s="1"/>
  <c r="U33" i="1"/>
  <c r="U32" i="1"/>
  <c r="V32" i="1"/>
  <c r="M32" i="1" s="1"/>
  <c r="F32" i="1" s="1"/>
  <c r="U25" i="1"/>
  <c r="U30" i="1"/>
  <c r="V30" i="1"/>
  <c r="M30" i="1" s="1"/>
  <c r="F30" i="1" s="1"/>
  <c r="U24" i="1"/>
  <c r="V24" i="1"/>
  <c r="M24" i="1" s="1"/>
  <c r="F24" i="1" s="1"/>
  <c r="V25" i="1"/>
  <c r="M25" i="1" s="1"/>
  <c r="F25" i="1" s="1"/>
  <c r="U26" i="1"/>
  <c r="V26" i="1"/>
  <c r="M26" i="1" s="1"/>
  <c r="F26" i="1" s="1"/>
  <c r="V13" i="1"/>
  <c r="M13" i="1" s="1"/>
  <c r="F13" i="1" s="1"/>
  <c r="U18" i="1"/>
  <c r="V18" i="1"/>
  <c r="M18" i="1" s="1"/>
  <c r="F18" i="1" s="1"/>
  <c r="V19" i="1"/>
  <c r="M19" i="1" s="1"/>
  <c r="F19" i="1" s="1"/>
  <c r="U20" i="1"/>
  <c r="U19" i="1"/>
  <c r="V20" i="1"/>
  <c r="M20" i="1" s="1"/>
  <c r="F20" i="1" s="1"/>
  <c r="V12" i="1"/>
  <c r="M12" i="1" s="1"/>
  <c r="F12" i="1" s="1"/>
  <c r="U12" i="1"/>
  <c r="U13" i="1"/>
  <c r="U14" i="1"/>
  <c r="V14" i="1"/>
  <c r="M14" i="1" s="1"/>
  <c r="F14" i="1" s="1"/>
  <c r="V6" i="1"/>
  <c r="M6" i="1" s="1"/>
  <c r="F6" i="1" s="1"/>
  <c r="V8" i="1"/>
  <c r="M8" i="1" s="1"/>
  <c r="F8" i="1" s="1"/>
  <c r="U8" i="1"/>
  <c r="U6" i="1"/>
  <c r="U7" i="1"/>
  <c r="V7" i="1"/>
  <c r="M7" i="1" s="1"/>
  <c r="F7" i="1" s="1"/>
  <c r="U3" i="1"/>
  <c r="V3" i="1"/>
  <c r="M3" i="1" s="1"/>
  <c r="F3" i="1" s="1"/>
  <c r="V2" i="1"/>
  <c r="M2" i="1" s="1"/>
  <c r="F2" i="1" s="1"/>
  <c r="W36" i="1"/>
  <c r="W48" i="1"/>
  <c r="W39" i="1"/>
  <c r="W44" i="1"/>
  <c r="W46" i="1"/>
  <c r="W45" i="1"/>
  <c r="W47" i="1"/>
  <c r="W37" i="1"/>
  <c r="W38" i="1"/>
  <c r="W41" i="1"/>
  <c r="W40" i="1"/>
  <c r="W42" i="1"/>
  <c r="W43" i="1"/>
  <c r="W35" i="1"/>
  <c r="W32" i="1"/>
  <c r="W27" i="1"/>
  <c r="W33" i="1"/>
  <c r="W31" i="1"/>
  <c r="W34" i="1"/>
  <c r="W30" i="1"/>
  <c r="W24" i="1"/>
  <c r="W25" i="1"/>
  <c r="W26" i="1"/>
  <c r="W28" i="1"/>
  <c r="W18" i="1"/>
  <c r="N18" i="1" s="1"/>
  <c r="W29" i="1"/>
  <c r="W19" i="1"/>
  <c r="W20" i="1"/>
  <c r="W22" i="1"/>
  <c r="W21" i="1"/>
  <c r="W23" i="1"/>
  <c r="W12" i="1"/>
  <c r="W14" i="1"/>
  <c r="W13" i="1"/>
  <c r="W15" i="1"/>
  <c r="W16" i="1"/>
  <c r="W17" i="1"/>
  <c r="W11" i="1"/>
  <c r="N11" i="1" s="1"/>
  <c r="E11" i="1" s="1"/>
  <c r="W10" i="1"/>
  <c r="N10" i="1" s="1"/>
  <c r="E10" i="1" s="1"/>
  <c r="W7" i="1"/>
  <c r="N7" i="1" s="1"/>
  <c r="E7" i="1" s="1"/>
  <c r="W6" i="1"/>
  <c r="N6" i="1" s="1"/>
  <c r="E6" i="1" s="1"/>
  <c r="W8" i="1"/>
  <c r="N8" i="1" s="1"/>
  <c r="E8" i="1" s="1"/>
  <c r="W9" i="1"/>
  <c r="N9" i="1" s="1"/>
  <c r="E9" i="1" s="1"/>
  <c r="W5" i="1"/>
  <c r="N5" i="1" s="1"/>
  <c r="E5" i="1" s="1"/>
  <c r="W3" i="1"/>
  <c r="N3" i="1" s="1"/>
  <c r="E3" i="1" s="1"/>
  <c r="AH48" i="1"/>
  <c r="AH46" i="1"/>
  <c r="AH47" i="1"/>
  <c r="AH44" i="1"/>
  <c r="AH42" i="1"/>
  <c r="AH43" i="1"/>
  <c r="AH40" i="1"/>
  <c r="AH41" i="1"/>
  <c r="AH38" i="1"/>
  <c r="AH39" i="1"/>
  <c r="AH36" i="1"/>
  <c r="AH37" i="1"/>
  <c r="AH35" i="1"/>
  <c r="AH34" i="1"/>
  <c r="AH33" i="1"/>
  <c r="AH32" i="1"/>
  <c r="AH27" i="1"/>
  <c r="AH31" i="1"/>
  <c r="AH30" i="1"/>
  <c r="AH28" i="1"/>
  <c r="AH29" i="1"/>
  <c r="AH24" i="1"/>
  <c r="AH25" i="1"/>
  <c r="AH26" i="1"/>
  <c r="AH15" i="1"/>
  <c r="AH18" i="1"/>
  <c r="AH22" i="1"/>
  <c r="AH21" i="1"/>
  <c r="AH23" i="1"/>
  <c r="AH19" i="1"/>
  <c r="AH20" i="1"/>
  <c r="AH9" i="1"/>
  <c r="AH16" i="1"/>
  <c r="AH17" i="1"/>
  <c r="AH12" i="1"/>
  <c r="AH13" i="1"/>
  <c r="AH14" i="1"/>
  <c r="AH10" i="1"/>
  <c r="AH11" i="1"/>
  <c r="AH6" i="1"/>
  <c r="AH7" i="1"/>
  <c r="AH4" i="1"/>
  <c r="AH5" i="1"/>
  <c r="AG47" i="1"/>
  <c r="AG46" i="1"/>
  <c r="AG45" i="1"/>
  <c r="AG40" i="1"/>
  <c r="AG43" i="1"/>
  <c r="AG42" i="1"/>
  <c r="AG41" i="1"/>
  <c r="AG39" i="1"/>
  <c r="AG38" i="1"/>
  <c r="AG37" i="1"/>
  <c r="AG36" i="1"/>
  <c r="AG35" i="1"/>
  <c r="AG34" i="1"/>
  <c r="AG33" i="1"/>
  <c r="AG32" i="1"/>
  <c r="AG31" i="1"/>
  <c r="AG29" i="1"/>
  <c r="AG30" i="1"/>
  <c r="AG28" i="1"/>
  <c r="AG26" i="1"/>
  <c r="AG27" i="1"/>
  <c r="AG25" i="1"/>
  <c r="AG23" i="1"/>
  <c r="AG22" i="1"/>
  <c r="AG21" i="1"/>
  <c r="AG20" i="1"/>
  <c r="AG19" i="1"/>
  <c r="AG17" i="1"/>
  <c r="AG16" i="1"/>
  <c r="AG15" i="1"/>
  <c r="AG14" i="1"/>
  <c r="AG13" i="1"/>
  <c r="AG11" i="1"/>
  <c r="AG6" i="1"/>
  <c r="AG9" i="1"/>
  <c r="AG8" i="1"/>
  <c r="AG10" i="1"/>
  <c r="AG5" i="1"/>
  <c r="AG4" i="1"/>
  <c r="AG2" i="1"/>
  <c r="T42" i="1"/>
  <c r="T41" i="1"/>
  <c r="T34" i="1"/>
  <c r="T43" i="1"/>
  <c r="T40" i="1"/>
  <c r="T33" i="1"/>
  <c r="T35" i="1"/>
  <c r="T48" i="1"/>
  <c r="T32" i="1"/>
  <c r="T47" i="1"/>
  <c r="T39" i="1"/>
  <c r="T31" i="1"/>
  <c r="T46" i="1"/>
  <c r="T38" i="1"/>
  <c r="T45" i="1"/>
  <c r="T37" i="1"/>
  <c r="T44" i="1"/>
  <c r="T36" i="1"/>
  <c r="T26" i="1"/>
  <c r="T18" i="1"/>
  <c r="T10" i="1"/>
  <c r="T23" i="1"/>
  <c r="T15" i="1"/>
  <c r="T7" i="1"/>
  <c r="T25" i="1"/>
  <c r="T17" i="1"/>
  <c r="T9" i="1"/>
  <c r="T22" i="1"/>
  <c r="T14" i="1"/>
  <c r="T6" i="1"/>
  <c r="T24" i="1"/>
  <c r="T16" i="1"/>
  <c r="T8" i="1"/>
  <c r="T29" i="1"/>
  <c r="T21" i="1"/>
  <c r="T13" i="1"/>
  <c r="T5" i="1"/>
  <c r="T28" i="1"/>
  <c r="T20" i="1"/>
  <c r="T12" i="1"/>
  <c r="T4" i="1"/>
  <c r="T27" i="1"/>
  <c r="T19" i="1"/>
  <c r="T11" i="1"/>
  <c r="T3" i="1"/>
  <c r="AF14" i="1"/>
  <c r="AF13" i="1"/>
  <c r="Y42" i="1"/>
  <c r="Y34" i="1"/>
  <c r="Y26" i="1"/>
  <c r="AF47" i="1"/>
  <c r="Y18" i="1"/>
  <c r="AF32" i="1"/>
  <c r="Y10" i="1"/>
  <c r="AF26" i="1"/>
  <c r="Y41" i="1"/>
  <c r="Y33" i="1"/>
  <c r="Y25" i="1"/>
  <c r="Y17" i="1"/>
  <c r="Y9" i="1"/>
  <c r="Y48" i="1"/>
  <c r="Y40" i="1"/>
  <c r="Y32" i="1"/>
  <c r="Y24" i="1"/>
  <c r="Y16" i="1"/>
  <c r="Y8" i="1"/>
  <c r="Y47" i="1"/>
  <c r="Y39" i="1"/>
  <c r="Y31" i="1"/>
  <c r="Y23" i="1"/>
  <c r="Y15" i="1"/>
  <c r="Y7" i="1"/>
  <c r="Y46" i="1"/>
  <c r="Y38" i="1"/>
  <c r="Y30" i="1"/>
  <c r="Y22" i="1"/>
  <c r="Y14" i="1"/>
  <c r="Y6" i="1"/>
  <c r="AF46" i="1"/>
  <c r="Y45" i="1"/>
  <c r="Y37" i="1"/>
  <c r="Y29" i="1"/>
  <c r="Y21" i="1"/>
  <c r="Y13" i="1"/>
  <c r="Y5" i="1"/>
  <c r="Y44" i="1"/>
  <c r="Y36" i="1"/>
  <c r="Y28" i="1"/>
  <c r="Y20" i="1"/>
  <c r="Y12" i="1"/>
  <c r="Y4" i="1"/>
  <c r="Y43" i="1"/>
  <c r="Y35" i="1"/>
  <c r="Y27" i="1"/>
  <c r="Y19" i="1"/>
  <c r="Y11" i="1"/>
  <c r="Y3" i="1"/>
  <c r="AF37" i="1"/>
  <c r="AF22" i="1"/>
  <c r="AF34" i="1"/>
  <c r="AF16" i="1"/>
  <c r="AF48" i="1"/>
  <c r="AF33" i="1"/>
  <c r="AF15" i="1"/>
  <c r="AF45" i="1"/>
  <c r="AF25" i="1"/>
  <c r="AF10" i="1"/>
  <c r="AF42" i="1"/>
  <c r="AF24" i="1"/>
  <c r="AF6" i="1"/>
  <c r="AF38" i="1"/>
  <c r="AF23" i="1"/>
  <c r="AF41" i="1"/>
  <c r="AF31" i="1"/>
  <c r="AF21" i="1"/>
  <c r="AF9" i="1"/>
  <c r="AF40" i="1"/>
  <c r="AF30" i="1"/>
  <c r="AF18" i="1"/>
  <c r="AF8" i="1"/>
  <c r="AF2" i="1"/>
  <c r="AF39" i="1"/>
  <c r="AF29" i="1"/>
  <c r="AF17" i="1"/>
  <c r="AF7" i="1"/>
  <c r="AF5" i="1"/>
  <c r="AF44" i="1"/>
  <c r="AF36" i="1"/>
  <c r="AF28" i="1"/>
  <c r="AF20" i="1"/>
  <c r="AF12" i="1"/>
  <c r="AF4" i="1"/>
  <c r="AF43" i="1"/>
  <c r="AF35" i="1"/>
  <c r="AF27" i="1"/>
  <c r="AF19" i="1"/>
  <c r="AF11" i="1"/>
  <c r="K32" i="1" l="1"/>
  <c r="H32" i="1" s="1"/>
  <c r="A348" i="1"/>
  <c r="L344" i="1"/>
  <c r="G344" i="1" s="1"/>
  <c r="J344" i="1"/>
  <c r="I344" i="1" s="1"/>
  <c r="K344" i="1"/>
  <c r="H344" i="1" s="1"/>
  <c r="K346" i="1"/>
  <c r="H346" i="1" s="1"/>
  <c r="L346" i="1"/>
  <c r="G346" i="1" s="1"/>
  <c r="J346" i="1"/>
  <c r="I346" i="1" s="1"/>
  <c r="K345" i="1"/>
  <c r="H345" i="1" s="1"/>
  <c r="L345" i="1"/>
  <c r="G345" i="1" s="1"/>
  <c r="J345" i="1"/>
  <c r="I345" i="1" s="1"/>
  <c r="B348" i="1"/>
  <c r="A347" i="1"/>
  <c r="B347" i="1"/>
  <c r="A349" i="1"/>
  <c r="B349" i="1"/>
  <c r="B11" i="1"/>
  <c r="B4" i="1"/>
  <c r="D396" i="1"/>
  <c r="B5" i="1"/>
  <c r="B9" i="1"/>
  <c r="B10" i="1"/>
  <c r="M226" i="1"/>
  <c r="F226" i="1" s="1"/>
  <c r="M88" i="1"/>
  <c r="F88" i="1" s="1"/>
  <c r="M92" i="1"/>
  <c r="F92" i="1" s="1"/>
  <c r="S167" i="1"/>
  <c r="S165" i="1"/>
  <c r="S166" i="1"/>
  <c r="M107" i="1"/>
  <c r="F107" i="1" s="1"/>
  <c r="M217" i="1"/>
  <c r="F217" i="1" s="1"/>
  <c r="M89" i="1"/>
  <c r="F89" i="1" s="1"/>
  <c r="M165" i="1"/>
  <c r="F165" i="1" s="1"/>
  <c r="M168" i="1"/>
  <c r="F168" i="1" s="1"/>
  <c r="M316" i="1"/>
  <c r="F316" i="1" s="1"/>
  <c r="M85" i="1"/>
  <c r="F85" i="1" s="1"/>
  <c r="S168" i="1"/>
  <c r="A9" i="1"/>
  <c r="A11" i="1"/>
  <c r="A4" i="1"/>
  <c r="A10" i="1"/>
  <c r="A5" i="1"/>
  <c r="L12" i="1"/>
  <c r="G12" i="1" s="1"/>
  <c r="L41" i="1"/>
  <c r="G41" i="1" s="1"/>
  <c r="L44" i="1"/>
  <c r="G44" i="1" s="1"/>
  <c r="J296" i="1"/>
  <c r="I296" i="1" s="1"/>
  <c r="K296" i="1"/>
  <c r="H296" i="1" s="1"/>
  <c r="L296" i="1"/>
  <c r="G296" i="1" s="1"/>
  <c r="J334" i="1"/>
  <c r="I334" i="1" s="1"/>
  <c r="K334" i="1"/>
  <c r="H334" i="1" s="1"/>
  <c r="L334" i="1"/>
  <c r="G334" i="1" s="1"/>
  <c r="J366" i="1"/>
  <c r="I366" i="1" s="1"/>
  <c r="K366" i="1"/>
  <c r="H366" i="1" s="1"/>
  <c r="L366" i="1"/>
  <c r="G366" i="1" s="1"/>
  <c r="J326" i="1"/>
  <c r="I326" i="1" s="1"/>
  <c r="K326" i="1"/>
  <c r="H326" i="1" s="1"/>
  <c r="L326" i="1"/>
  <c r="G326" i="1" s="1"/>
  <c r="J350" i="1"/>
  <c r="I350" i="1" s="1"/>
  <c r="K350" i="1"/>
  <c r="H350" i="1" s="1"/>
  <c r="L350" i="1"/>
  <c r="G350" i="1" s="1"/>
  <c r="K353" i="1"/>
  <c r="H353" i="1" s="1"/>
  <c r="J353" i="1"/>
  <c r="I353" i="1" s="1"/>
  <c r="L353" i="1"/>
  <c r="G353" i="1" s="1"/>
  <c r="J358" i="1"/>
  <c r="I358" i="1" s="1"/>
  <c r="K358" i="1"/>
  <c r="H358" i="1" s="1"/>
  <c r="L358" i="1"/>
  <c r="G358" i="1" s="1"/>
  <c r="J373" i="1"/>
  <c r="I373" i="1" s="1"/>
  <c r="K373" i="1"/>
  <c r="H373" i="1" s="1"/>
  <c r="L373" i="1"/>
  <c r="G373" i="1" s="1"/>
  <c r="K381" i="1"/>
  <c r="H381" i="1" s="1"/>
  <c r="J381" i="1"/>
  <c r="I381" i="1" s="1"/>
  <c r="L381" i="1"/>
  <c r="G381" i="1" s="1"/>
  <c r="K389" i="1"/>
  <c r="H389" i="1" s="1"/>
  <c r="L389" i="1"/>
  <c r="G389" i="1" s="1"/>
  <c r="J389" i="1"/>
  <c r="I389" i="1" s="1"/>
  <c r="K263" i="1"/>
  <c r="H263" i="1" s="1"/>
  <c r="J263" i="1"/>
  <c r="I263" i="1" s="1"/>
  <c r="L263" i="1"/>
  <c r="G263" i="1" s="1"/>
  <c r="J262" i="1"/>
  <c r="I262" i="1" s="1"/>
  <c r="K262" i="1"/>
  <c r="H262" i="1" s="1"/>
  <c r="L262" i="1"/>
  <c r="G262" i="1" s="1"/>
  <c r="J286" i="1"/>
  <c r="I286" i="1" s="1"/>
  <c r="K286" i="1"/>
  <c r="H286" i="1" s="1"/>
  <c r="L286" i="1"/>
  <c r="G286" i="1" s="1"/>
  <c r="J352" i="1"/>
  <c r="I352" i="1" s="1"/>
  <c r="K352" i="1"/>
  <c r="H352" i="1" s="1"/>
  <c r="L352" i="1"/>
  <c r="G352" i="1" s="1"/>
  <c r="J368" i="1"/>
  <c r="I368" i="1" s="1"/>
  <c r="K368" i="1"/>
  <c r="H368" i="1" s="1"/>
  <c r="L368" i="1"/>
  <c r="G368" i="1" s="1"/>
  <c r="K383" i="1"/>
  <c r="H383" i="1" s="1"/>
  <c r="L383" i="1"/>
  <c r="G383" i="1" s="1"/>
  <c r="J383" i="1"/>
  <c r="I383" i="1" s="1"/>
  <c r="J327" i="1"/>
  <c r="I327" i="1" s="1"/>
  <c r="K327" i="1"/>
  <c r="H327" i="1" s="1"/>
  <c r="L327" i="1"/>
  <c r="G327" i="1" s="1"/>
  <c r="J330" i="1"/>
  <c r="I330" i="1" s="1"/>
  <c r="K330" i="1"/>
  <c r="H330" i="1" s="1"/>
  <c r="L330" i="1"/>
  <c r="G330" i="1" s="1"/>
  <c r="K375" i="1"/>
  <c r="H375" i="1" s="1"/>
  <c r="J375" i="1"/>
  <c r="I375" i="1" s="1"/>
  <c r="L375" i="1"/>
  <c r="G375" i="1" s="1"/>
  <c r="J246" i="1"/>
  <c r="I246" i="1" s="1"/>
  <c r="K246" i="1"/>
  <c r="H246" i="1" s="1"/>
  <c r="L246" i="1"/>
  <c r="G246" i="1" s="1"/>
  <c r="J321" i="1"/>
  <c r="I321" i="1" s="1"/>
  <c r="K321" i="1"/>
  <c r="H321" i="1" s="1"/>
  <c r="L321" i="1"/>
  <c r="G321" i="1" s="1"/>
  <c r="J339" i="1"/>
  <c r="I339" i="1" s="1"/>
  <c r="K339" i="1"/>
  <c r="H339" i="1" s="1"/>
  <c r="L339" i="1"/>
  <c r="G339" i="1" s="1"/>
  <c r="J360" i="1"/>
  <c r="I360" i="1" s="1"/>
  <c r="K360" i="1"/>
  <c r="H360" i="1" s="1"/>
  <c r="L360" i="1"/>
  <c r="G360" i="1" s="1"/>
  <c r="J248" i="1"/>
  <c r="I248" i="1" s="1"/>
  <c r="K248" i="1"/>
  <c r="H248" i="1" s="1"/>
  <c r="L248" i="1"/>
  <c r="G248" i="1" s="1"/>
  <c r="J261" i="1"/>
  <c r="I261" i="1" s="1"/>
  <c r="L261" i="1"/>
  <c r="G261" i="1" s="1"/>
  <c r="K261" i="1"/>
  <c r="H261" i="1" s="1"/>
  <c r="L307" i="1"/>
  <c r="G307" i="1" s="1"/>
  <c r="J307" i="1"/>
  <c r="I307" i="1" s="1"/>
  <c r="K307" i="1"/>
  <c r="H307" i="1" s="1"/>
  <c r="J237" i="1"/>
  <c r="I237" i="1" s="1"/>
  <c r="K237" i="1"/>
  <c r="H237" i="1" s="1"/>
  <c r="L237" i="1"/>
  <c r="G237" i="1" s="1"/>
  <c r="L247" i="1"/>
  <c r="G247" i="1" s="1"/>
  <c r="J247" i="1"/>
  <c r="I247" i="1" s="1"/>
  <c r="K247" i="1"/>
  <c r="H247" i="1" s="1"/>
  <c r="J367" i="1"/>
  <c r="I367" i="1" s="1"/>
  <c r="L367" i="1"/>
  <c r="G367" i="1" s="1"/>
  <c r="K367" i="1"/>
  <c r="H367" i="1" s="1"/>
  <c r="J372" i="1"/>
  <c r="I372" i="1" s="1"/>
  <c r="K372" i="1"/>
  <c r="H372" i="1" s="1"/>
  <c r="L372" i="1"/>
  <c r="G372" i="1" s="1"/>
  <c r="J277" i="1"/>
  <c r="I277" i="1" s="1"/>
  <c r="K277" i="1"/>
  <c r="H277" i="1" s="1"/>
  <c r="L277" i="1"/>
  <c r="G277" i="1" s="1"/>
  <c r="J316" i="1"/>
  <c r="I316" i="1" s="1"/>
  <c r="K316" i="1"/>
  <c r="H316" i="1" s="1"/>
  <c r="L316" i="1"/>
  <c r="G316" i="1" s="1"/>
  <c r="J287" i="1"/>
  <c r="I287" i="1" s="1"/>
  <c r="K287" i="1"/>
  <c r="H287" i="1" s="1"/>
  <c r="L287" i="1"/>
  <c r="G287" i="1" s="1"/>
  <c r="J297" i="1"/>
  <c r="I297" i="1" s="1"/>
  <c r="K297" i="1"/>
  <c r="H297" i="1" s="1"/>
  <c r="L297" i="1"/>
  <c r="G297" i="1" s="1"/>
  <c r="J306" i="1"/>
  <c r="I306" i="1" s="1"/>
  <c r="K306" i="1"/>
  <c r="H306" i="1" s="1"/>
  <c r="L306" i="1"/>
  <c r="G306" i="1" s="1"/>
  <c r="J331" i="1"/>
  <c r="I331" i="1" s="1"/>
  <c r="L331" i="1"/>
  <c r="G331" i="1" s="1"/>
  <c r="K331" i="1"/>
  <c r="H331" i="1" s="1"/>
  <c r="J340" i="1"/>
  <c r="I340" i="1" s="1"/>
  <c r="K340" i="1"/>
  <c r="H340" i="1" s="1"/>
  <c r="L340" i="1"/>
  <c r="G340" i="1" s="1"/>
  <c r="J351" i="1"/>
  <c r="I351" i="1" s="1"/>
  <c r="L351" i="1"/>
  <c r="G351" i="1" s="1"/>
  <c r="K351" i="1"/>
  <c r="H351" i="1" s="1"/>
  <c r="K359" i="1"/>
  <c r="H359" i="1" s="1"/>
  <c r="J359" i="1"/>
  <c r="I359" i="1" s="1"/>
  <c r="L359" i="1"/>
  <c r="G359" i="1" s="1"/>
  <c r="J390" i="1"/>
  <c r="I390" i="1" s="1"/>
  <c r="K390" i="1"/>
  <c r="H390" i="1" s="1"/>
  <c r="L390" i="1"/>
  <c r="G390" i="1" s="1"/>
  <c r="J380" i="1"/>
  <c r="I380" i="1" s="1"/>
  <c r="K380" i="1"/>
  <c r="H380" i="1" s="1"/>
  <c r="L380" i="1"/>
  <c r="G380" i="1" s="1"/>
  <c r="J388" i="1"/>
  <c r="I388" i="1" s="1"/>
  <c r="K388" i="1"/>
  <c r="H388" i="1" s="1"/>
  <c r="L388" i="1"/>
  <c r="G388" i="1" s="1"/>
  <c r="J236" i="1"/>
  <c r="I236" i="1" s="1"/>
  <c r="K236" i="1"/>
  <c r="H236" i="1" s="1"/>
  <c r="L236" i="1"/>
  <c r="G236" i="1" s="1"/>
  <c r="J276" i="1"/>
  <c r="I276" i="1" s="1"/>
  <c r="K276" i="1"/>
  <c r="H276" i="1" s="1"/>
  <c r="L276" i="1"/>
  <c r="G276" i="1" s="1"/>
  <c r="K335" i="1"/>
  <c r="H335" i="1" s="1"/>
  <c r="L335" i="1"/>
  <c r="G335" i="1" s="1"/>
  <c r="J335" i="1"/>
  <c r="I335" i="1" s="1"/>
  <c r="J338" i="1"/>
  <c r="I338" i="1" s="1"/>
  <c r="K338" i="1"/>
  <c r="H338" i="1" s="1"/>
  <c r="L338" i="1"/>
  <c r="G338" i="1" s="1"/>
  <c r="J361" i="1"/>
  <c r="I361" i="1" s="1"/>
  <c r="L361" i="1"/>
  <c r="G361" i="1" s="1"/>
  <c r="K361" i="1"/>
  <c r="H361" i="1" s="1"/>
  <c r="J374" i="1"/>
  <c r="I374" i="1" s="1"/>
  <c r="K374" i="1"/>
  <c r="H374" i="1" s="1"/>
  <c r="L374" i="1"/>
  <c r="G374" i="1" s="1"/>
  <c r="J382" i="1"/>
  <c r="I382" i="1" s="1"/>
  <c r="K382" i="1"/>
  <c r="H382" i="1" s="1"/>
  <c r="L382" i="1"/>
  <c r="G382" i="1" s="1"/>
  <c r="J80" i="1"/>
  <c r="I80" i="1" s="1"/>
  <c r="K80" i="1"/>
  <c r="H80" i="1" s="1"/>
  <c r="L80" i="1"/>
  <c r="G80" i="1" s="1"/>
  <c r="J81" i="1"/>
  <c r="I81" i="1" s="1"/>
  <c r="K81" i="1"/>
  <c r="H81" i="1" s="1"/>
  <c r="L81" i="1"/>
  <c r="G81" i="1" s="1"/>
  <c r="J138" i="1"/>
  <c r="I138" i="1" s="1"/>
  <c r="K138" i="1"/>
  <c r="H138" i="1" s="1"/>
  <c r="L138" i="1"/>
  <c r="G138" i="1" s="1"/>
  <c r="J148" i="1"/>
  <c r="I148" i="1" s="1"/>
  <c r="K148" i="1"/>
  <c r="H148" i="1" s="1"/>
  <c r="L148" i="1"/>
  <c r="G148" i="1" s="1"/>
  <c r="J153" i="1"/>
  <c r="I153" i="1" s="1"/>
  <c r="K153" i="1"/>
  <c r="H153" i="1" s="1"/>
  <c r="L153" i="1"/>
  <c r="G153" i="1" s="1"/>
  <c r="J168" i="1"/>
  <c r="I168" i="1" s="1"/>
  <c r="K168" i="1"/>
  <c r="H168" i="1" s="1"/>
  <c r="L168" i="1"/>
  <c r="G168" i="1" s="1"/>
  <c r="J61" i="1"/>
  <c r="I61" i="1" s="1"/>
  <c r="K61" i="1"/>
  <c r="H61" i="1" s="1"/>
  <c r="L61" i="1"/>
  <c r="G61" i="1" s="1"/>
  <c r="J69" i="1"/>
  <c r="I69" i="1" s="1"/>
  <c r="K69" i="1"/>
  <c r="H69" i="1" s="1"/>
  <c r="L69" i="1"/>
  <c r="G69" i="1" s="1"/>
  <c r="J68" i="1"/>
  <c r="I68" i="1" s="1"/>
  <c r="K68" i="1"/>
  <c r="H68" i="1" s="1"/>
  <c r="L68" i="1"/>
  <c r="G68" i="1" s="1"/>
  <c r="J85" i="1"/>
  <c r="I85" i="1" s="1"/>
  <c r="K85" i="1"/>
  <c r="H85" i="1" s="1"/>
  <c r="L85" i="1"/>
  <c r="G85" i="1" s="1"/>
  <c r="J101" i="1"/>
  <c r="I101" i="1" s="1"/>
  <c r="K101" i="1"/>
  <c r="H101" i="1" s="1"/>
  <c r="L101" i="1"/>
  <c r="G101" i="1" s="1"/>
  <c r="J107" i="1"/>
  <c r="I107" i="1" s="1"/>
  <c r="K107" i="1"/>
  <c r="H107" i="1" s="1"/>
  <c r="L107" i="1"/>
  <c r="G107" i="1" s="1"/>
  <c r="J110" i="1"/>
  <c r="I110" i="1" s="1"/>
  <c r="K110" i="1"/>
  <c r="H110" i="1" s="1"/>
  <c r="L110" i="1"/>
  <c r="G110" i="1" s="1"/>
  <c r="J121" i="1"/>
  <c r="I121" i="1" s="1"/>
  <c r="K121" i="1"/>
  <c r="H121" i="1" s="1"/>
  <c r="L121" i="1"/>
  <c r="G121" i="1" s="1"/>
  <c r="J128" i="1"/>
  <c r="I128" i="1" s="1"/>
  <c r="K128" i="1"/>
  <c r="H128" i="1" s="1"/>
  <c r="L128" i="1"/>
  <c r="G128" i="1" s="1"/>
  <c r="J133" i="1"/>
  <c r="I133" i="1" s="1"/>
  <c r="K133" i="1"/>
  <c r="H133" i="1" s="1"/>
  <c r="L133" i="1"/>
  <c r="G133" i="1" s="1"/>
  <c r="J152" i="1"/>
  <c r="I152" i="1" s="1"/>
  <c r="K152" i="1"/>
  <c r="H152" i="1" s="1"/>
  <c r="L152" i="1"/>
  <c r="G152" i="1" s="1"/>
  <c r="J156" i="1"/>
  <c r="I156" i="1" s="1"/>
  <c r="K156" i="1"/>
  <c r="H156" i="1" s="1"/>
  <c r="L156" i="1"/>
  <c r="G156" i="1" s="1"/>
  <c r="J196" i="1"/>
  <c r="I196" i="1" s="1"/>
  <c r="K196" i="1"/>
  <c r="H196" i="1" s="1"/>
  <c r="L196" i="1"/>
  <c r="G196" i="1" s="1"/>
  <c r="L227" i="1"/>
  <c r="G227" i="1" s="1"/>
  <c r="J227" i="1"/>
  <c r="I227" i="1" s="1"/>
  <c r="K227" i="1"/>
  <c r="H227" i="1" s="1"/>
  <c r="J104" i="1"/>
  <c r="I104" i="1" s="1"/>
  <c r="K104" i="1"/>
  <c r="H104" i="1" s="1"/>
  <c r="L104" i="1"/>
  <c r="G104" i="1" s="1"/>
  <c r="J161" i="1"/>
  <c r="I161" i="1" s="1"/>
  <c r="K161" i="1"/>
  <c r="H161" i="1" s="1"/>
  <c r="L161" i="1"/>
  <c r="G161" i="1" s="1"/>
  <c r="J186" i="1"/>
  <c r="I186" i="1" s="1"/>
  <c r="K186" i="1"/>
  <c r="H186" i="1" s="1"/>
  <c r="L186" i="1"/>
  <c r="G186" i="1" s="1"/>
  <c r="J89" i="1"/>
  <c r="I89" i="1" s="1"/>
  <c r="K89" i="1"/>
  <c r="H89" i="1" s="1"/>
  <c r="L89" i="1"/>
  <c r="G89" i="1" s="1"/>
  <c r="J72" i="1"/>
  <c r="I72" i="1" s="1"/>
  <c r="K72" i="1"/>
  <c r="H72" i="1" s="1"/>
  <c r="L72" i="1"/>
  <c r="G72" i="1" s="1"/>
  <c r="J77" i="1"/>
  <c r="I77" i="1" s="1"/>
  <c r="K77" i="1"/>
  <c r="H77" i="1" s="1"/>
  <c r="L77" i="1"/>
  <c r="G77" i="1" s="1"/>
  <c r="J123" i="1"/>
  <c r="I123" i="1" s="1"/>
  <c r="K123" i="1"/>
  <c r="H123" i="1" s="1"/>
  <c r="L123" i="1"/>
  <c r="G123" i="1" s="1"/>
  <c r="J172" i="1"/>
  <c r="I172" i="1" s="1"/>
  <c r="K172" i="1"/>
  <c r="H172" i="1" s="1"/>
  <c r="L172" i="1"/>
  <c r="G172" i="1" s="1"/>
  <c r="J187" i="1"/>
  <c r="I187" i="1" s="1"/>
  <c r="K187" i="1"/>
  <c r="H187" i="1" s="1"/>
  <c r="L187" i="1"/>
  <c r="G187" i="1" s="1"/>
  <c r="J197" i="1"/>
  <c r="I197" i="1" s="1"/>
  <c r="K197" i="1"/>
  <c r="H197" i="1" s="1"/>
  <c r="L197" i="1"/>
  <c r="G197" i="1" s="1"/>
  <c r="J165" i="1"/>
  <c r="I165" i="1" s="1"/>
  <c r="K165" i="1"/>
  <c r="H165" i="1" s="1"/>
  <c r="L165" i="1"/>
  <c r="G165" i="1" s="1"/>
  <c r="J226" i="1"/>
  <c r="I226" i="1" s="1"/>
  <c r="K226" i="1"/>
  <c r="H226" i="1" s="1"/>
  <c r="L226" i="1"/>
  <c r="G226" i="1" s="1"/>
  <c r="J60" i="1"/>
  <c r="I60" i="1" s="1"/>
  <c r="K60" i="1"/>
  <c r="H60" i="1" s="1"/>
  <c r="L60" i="1"/>
  <c r="G60" i="1" s="1"/>
  <c r="J157" i="1"/>
  <c r="I157" i="1" s="1"/>
  <c r="K157" i="1"/>
  <c r="H157" i="1" s="1"/>
  <c r="L157" i="1"/>
  <c r="G157" i="1" s="1"/>
  <c r="J65" i="1"/>
  <c r="I65" i="1" s="1"/>
  <c r="K65" i="1"/>
  <c r="H65" i="1" s="1"/>
  <c r="L65" i="1"/>
  <c r="G65" i="1" s="1"/>
  <c r="J119" i="1"/>
  <c r="I119" i="1" s="1"/>
  <c r="K119" i="1"/>
  <c r="H119" i="1" s="1"/>
  <c r="L119" i="1"/>
  <c r="G119" i="1" s="1"/>
  <c r="J207" i="1"/>
  <c r="I207" i="1" s="1"/>
  <c r="K207" i="1"/>
  <c r="H207" i="1" s="1"/>
  <c r="L207" i="1"/>
  <c r="G207" i="1" s="1"/>
  <c r="J216" i="1"/>
  <c r="I216" i="1" s="1"/>
  <c r="L216" i="1"/>
  <c r="G216" i="1" s="1"/>
  <c r="K216" i="1"/>
  <c r="H216" i="1" s="1"/>
  <c r="J76" i="1"/>
  <c r="I76" i="1" s="1"/>
  <c r="K76" i="1"/>
  <c r="H76" i="1" s="1"/>
  <c r="L76" i="1"/>
  <c r="G76" i="1" s="1"/>
  <c r="J88" i="1"/>
  <c r="I88" i="1" s="1"/>
  <c r="K88" i="1"/>
  <c r="H88" i="1" s="1"/>
  <c r="L88" i="1"/>
  <c r="G88" i="1" s="1"/>
  <c r="J92" i="1"/>
  <c r="I92" i="1" s="1"/>
  <c r="K92" i="1"/>
  <c r="H92" i="1" s="1"/>
  <c r="L92" i="1"/>
  <c r="G92" i="1" s="1"/>
  <c r="J95" i="1"/>
  <c r="I95" i="1" s="1"/>
  <c r="K95" i="1"/>
  <c r="H95" i="1" s="1"/>
  <c r="L95" i="1"/>
  <c r="G95" i="1" s="1"/>
  <c r="J117" i="1"/>
  <c r="I117" i="1" s="1"/>
  <c r="K117" i="1"/>
  <c r="H117" i="1" s="1"/>
  <c r="L117" i="1"/>
  <c r="G117" i="1" s="1"/>
  <c r="J149" i="1"/>
  <c r="I149" i="1" s="1"/>
  <c r="K149" i="1"/>
  <c r="H149" i="1" s="1"/>
  <c r="L149" i="1"/>
  <c r="G149" i="1" s="1"/>
  <c r="J169" i="1"/>
  <c r="I169" i="1" s="1"/>
  <c r="K169" i="1"/>
  <c r="H169" i="1" s="1"/>
  <c r="L169" i="1"/>
  <c r="G169" i="1" s="1"/>
  <c r="J176" i="1"/>
  <c r="I176" i="1" s="1"/>
  <c r="K176" i="1"/>
  <c r="H176" i="1" s="1"/>
  <c r="L176" i="1"/>
  <c r="G176" i="1" s="1"/>
  <c r="J206" i="1"/>
  <c r="I206" i="1" s="1"/>
  <c r="K206" i="1"/>
  <c r="H206" i="1" s="1"/>
  <c r="L206" i="1"/>
  <c r="G206" i="1" s="1"/>
  <c r="J84" i="1"/>
  <c r="I84" i="1" s="1"/>
  <c r="K84" i="1"/>
  <c r="H84" i="1" s="1"/>
  <c r="L84" i="1"/>
  <c r="G84" i="1" s="1"/>
  <c r="J160" i="1"/>
  <c r="I160" i="1" s="1"/>
  <c r="K160" i="1"/>
  <c r="H160" i="1" s="1"/>
  <c r="L160" i="1"/>
  <c r="G160" i="1" s="1"/>
  <c r="J217" i="1"/>
  <c r="I217" i="1" s="1"/>
  <c r="L217" i="1"/>
  <c r="G217" i="1" s="1"/>
  <c r="K217" i="1"/>
  <c r="H217" i="1" s="1"/>
  <c r="J73" i="1"/>
  <c r="I73" i="1" s="1"/>
  <c r="K73" i="1"/>
  <c r="H73" i="1" s="1"/>
  <c r="L73" i="1"/>
  <c r="G73" i="1" s="1"/>
  <c r="J113" i="1"/>
  <c r="I113" i="1" s="1"/>
  <c r="K113" i="1"/>
  <c r="H113" i="1" s="1"/>
  <c r="L113" i="1"/>
  <c r="G113" i="1" s="1"/>
  <c r="J115" i="1"/>
  <c r="I115" i="1" s="1"/>
  <c r="K115" i="1"/>
  <c r="H115" i="1" s="1"/>
  <c r="L115" i="1"/>
  <c r="G115" i="1" s="1"/>
  <c r="J64" i="1"/>
  <c r="I64" i="1" s="1"/>
  <c r="K64" i="1"/>
  <c r="H64" i="1" s="1"/>
  <c r="L64" i="1"/>
  <c r="G64" i="1" s="1"/>
  <c r="J98" i="1"/>
  <c r="I98" i="1" s="1"/>
  <c r="K98" i="1"/>
  <c r="H98" i="1" s="1"/>
  <c r="L98" i="1"/>
  <c r="G98" i="1" s="1"/>
  <c r="J143" i="1"/>
  <c r="I143" i="1" s="1"/>
  <c r="K143" i="1"/>
  <c r="H143" i="1" s="1"/>
  <c r="L143" i="1"/>
  <c r="G143" i="1" s="1"/>
  <c r="J164" i="1"/>
  <c r="I164" i="1" s="1"/>
  <c r="K164" i="1"/>
  <c r="H164" i="1" s="1"/>
  <c r="L164" i="1"/>
  <c r="G164" i="1" s="1"/>
  <c r="J173" i="1"/>
  <c r="I173" i="1" s="1"/>
  <c r="K173" i="1"/>
  <c r="H173" i="1" s="1"/>
  <c r="L173" i="1"/>
  <c r="G173" i="1" s="1"/>
  <c r="J177" i="1"/>
  <c r="I177" i="1" s="1"/>
  <c r="K177" i="1"/>
  <c r="H177" i="1" s="1"/>
  <c r="L177" i="1"/>
  <c r="G177" i="1" s="1"/>
  <c r="K56" i="1"/>
  <c r="H56" i="1" s="1"/>
  <c r="L56" i="1"/>
  <c r="G56" i="1" s="1"/>
  <c r="J56" i="1"/>
  <c r="I56" i="1" s="1"/>
  <c r="L24" i="1"/>
  <c r="G24" i="1" s="1"/>
  <c r="L45" i="1"/>
  <c r="G45" i="1" s="1"/>
  <c r="J57" i="1"/>
  <c r="I57" i="1" s="1"/>
  <c r="K57" i="1"/>
  <c r="H57" i="1" s="1"/>
  <c r="L57" i="1"/>
  <c r="G57" i="1" s="1"/>
  <c r="L6" i="1"/>
  <c r="G6" i="1" s="1"/>
  <c r="L53" i="1"/>
  <c r="G53" i="1" s="1"/>
  <c r="L26" i="1"/>
  <c r="G26" i="1" s="1"/>
  <c r="L32" i="1"/>
  <c r="G32" i="1" s="1"/>
  <c r="L33" i="1"/>
  <c r="G33" i="1" s="1"/>
  <c r="L36" i="1"/>
  <c r="G36" i="1" s="1"/>
  <c r="K52" i="1"/>
  <c r="H52" i="1" s="1"/>
  <c r="L52" i="1"/>
  <c r="G52" i="1" s="1"/>
  <c r="L7" i="1"/>
  <c r="G7" i="1" s="1"/>
  <c r="K25" i="1"/>
  <c r="H25" i="1" s="1"/>
  <c r="L25" i="1"/>
  <c r="G25" i="1" s="1"/>
  <c r="L19" i="1"/>
  <c r="G19" i="1" s="1"/>
  <c r="K20" i="1"/>
  <c r="H20" i="1" s="1"/>
  <c r="L20" i="1"/>
  <c r="G20" i="1" s="1"/>
  <c r="L3" i="1"/>
  <c r="G3" i="1" s="1"/>
  <c r="L30" i="1"/>
  <c r="G30" i="1" s="1"/>
  <c r="L14" i="1"/>
  <c r="G14" i="1" s="1"/>
  <c r="K13" i="1"/>
  <c r="H13" i="1" s="1"/>
  <c r="L13" i="1"/>
  <c r="G13" i="1" s="1"/>
  <c r="K37" i="1"/>
  <c r="H37" i="1" s="1"/>
  <c r="L37" i="1"/>
  <c r="G37" i="1" s="1"/>
  <c r="K8" i="1"/>
  <c r="H8" i="1" s="1"/>
  <c r="L8" i="1"/>
  <c r="G8" i="1" s="1"/>
  <c r="L40" i="1"/>
  <c r="G40" i="1" s="1"/>
  <c r="L48" i="1"/>
  <c r="G48" i="1" s="1"/>
  <c r="L18" i="1"/>
  <c r="G18" i="1" s="1"/>
  <c r="L49" i="1"/>
  <c r="G49" i="1" s="1"/>
  <c r="L2" i="1"/>
  <c r="G2" i="1" s="1"/>
  <c r="K44" i="1"/>
  <c r="H44" i="1" s="1"/>
  <c r="K12" i="1"/>
  <c r="H12" i="1" s="1"/>
  <c r="K41" i="1"/>
  <c r="H41" i="1" s="1"/>
  <c r="K3" i="1"/>
  <c r="H3" i="1" s="1"/>
  <c r="K49" i="1"/>
  <c r="H49" i="1" s="1"/>
  <c r="K26" i="1"/>
  <c r="H26" i="1" s="1"/>
  <c r="K48" i="1"/>
  <c r="H48" i="1" s="1"/>
  <c r="K14" i="1"/>
  <c r="H14" i="1" s="1"/>
  <c r="K36" i="1"/>
  <c r="H36" i="1" s="1"/>
  <c r="K19" i="1"/>
  <c r="H19" i="1" s="1"/>
  <c r="K18" i="1"/>
  <c r="H18" i="1" s="1"/>
  <c r="K24" i="1"/>
  <c r="H24" i="1" s="1"/>
  <c r="K45" i="1"/>
  <c r="H45" i="1" s="1"/>
  <c r="K7" i="1"/>
  <c r="H7" i="1" s="1"/>
  <c r="K6" i="1"/>
  <c r="H6" i="1" s="1"/>
  <c r="K53" i="1"/>
  <c r="H53" i="1" s="1"/>
  <c r="K40" i="1"/>
  <c r="H40" i="1" s="1"/>
  <c r="K30" i="1"/>
  <c r="H30" i="1" s="1"/>
  <c r="K33" i="1"/>
  <c r="H33" i="1" s="1"/>
  <c r="K2" i="1"/>
  <c r="H2" i="1" s="1"/>
  <c r="J36" i="1"/>
  <c r="I36" i="1" s="1"/>
  <c r="J41" i="1"/>
  <c r="I41" i="1" s="1"/>
  <c r="J30" i="1"/>
  <c r="I30" i="1" s="1"/>
  <c r="J44" i="1"/>
  <c r="I44" i="1" s="1"/>
  <c r="J49" i="1"/>
  <c r="I49" i="1" s="1"/>
  <c r="J52" i="1"/>
  <c r="I52" i="1" s="1"/>
  <c r="J37" i="1"/>
  <c r="I37" i="1" s="1"/>
  <c r="J53" i="1"/>
  <c r="I53" i="1" s="1"/>
  <c r="J32" i="1"/>
  <c r="I32" i="1" s="1"/>
  <c r="J40" i="1"/>
  <c r="I40" i="1" s="1"/>
  <c r="J48" i="1"/>
  <c r="I48" i="1" s="1"/>
  <c r="J45" i="1"/>
  <c r="I45" i="1" s="1"/>
  <c r="J33" i="1"/>
  <c r="I33" i="1" s="1"/>
  <c r="J20" i="1"/>
  <c r="I20" i="1" s="1"/>
  <c r="J24" i="1"/>
  <c r="I24" i="1" s="1"/>
  <c r="J14" i="1"/>
  <c r="I14" i="1" s="1"/>
  <c r="J12" i="1"/>
  <c r="I12" i="1" s="1"/>
  <c r="J18" i="1"/>
  <c r="I18" i="1" s="1"/>
  <c r="J26" i="1"/>
  <c r="I26" i="1" s="1"/>
  <c r="J13" i="1"/>
  <c r="I13" i="1" s="1"/>
  <c r="J25" i="1"/>
  <c r="I25" i="1" s="1"/>
  <c r="J19" i="1"/>
  <c r="I19" i="1" s="1"/>
  <c r="J7" i="1"/>
  <c r="I7" i="1" s="1"/>
  <c r="J8" i="1"/>
  <c r="I8" i="1" s="1"/>
  <c r="J6" i="1"/>
  <c r="I6" i="1" s="1"/>
  <c r="J2" i="1"/>
  <c r="J3" i="1"/>
  <c r="I3" i="1" s="1"/>
  <c r="N171" i="1"/>
  <c r="E171" i="1" s="1"/>
  <c r="B171" i="1" s="1"/>
  <c r="N13" i="1"/>
  <c r="E13" i="1" s="1"/>
  <c r="N81" i="1"/>
  <c r="E81" i="1" s="1"/>
  <c r="N115" i="1"/>
  <c r="E115" i="1" s="1"/>
  <c r="N45" i="1"/>
  <c r="E45" i="1" s="1"/>
  <c r="N113" i="1"/>
  <c r="E113" i="1" s="1"/>
  <c r="N191" i="1"/>
  <c r="E191" i="1" s="1"/>
  <c r="B191" i="1" s="1"/>
  <c r="N205" i="1"/>
  <c r="E205" i="1" s="1"/>
  <c r="B205" i="1" s="1"/>
  <c r="N304" i="1"/>
  <c r="E304" i="1" s="1"/>
  <c r="B304" i="1" s="1"/>
  <c r="N32" i="1"/>
  <c r="E32" i="1" s="1"/>
  <c r="N220" i="1"/>
  <c r="E220" i="1" s="1"/>
  <c r="B220" i="1" s="1"/>
  <c r="N37" i="1"/>
  <c r="E37" i="1" s="1"/>
  <c r="N94" i="1"/>
  <c r="E94" i="1" s="1"/>
  <c r="B94" i="1" s="1"/>
  <c r="N175" i="1"/>
  <c r="E175" i="1" s="1"/>
  <c r="B175" i="1" s="1"/>
  <c r="N193" i="1"/>
  <c r="E193" i="1" s="1"/>
  <c r="B193" i="1" s="1"/>
  <c r="N240" i="1"/>
  <c r="E240" i="1" s="1"/>
  <c r="B240" i="1" s="1"/>
  <c r="N263" i="1"/>
  <c r="E263" i="1" s="1"/>
  <c r="N19" i="1"/>
  <c r="E19" i="1" s="1"/>
  <c r="N287" i="1"/>
  <c r="E287" i="1" s="1"/>
  <c r="N28" i="1"/>
  <c r="E28" i="1" s="1"/>
  <c r="B28" i="1" s="1"/>
  <c r="N99" i="1"/>
  <c r="E99" i="1" s="1"/>
  <c r="B99" i="1" s="1"/>
  <c r="N23" i="1"/>
  <c r="E23" i="1" s="1"/>
  <c r="B23" i="1" s="1"/>
  <c r="N47" i="1"/>
  <c r="E47" i="1" s="1"/>
  <c r="B47" i="1" s="1"/>
  <c r="N108" i="1"/>
  <c r="E108" i="1" s="1"/>
  <c r="B108" i="1" s="1"/>
  <c r="N132" i="1"/>
  <c r="E132" i="1" s="1"/>
  <c r="B132" i="1" s="1"/>
  <c r="N159" i="1"/>
  <c r="E159" i="1" s="1"/>
  <c r="B159" i="1" s="1"/>
  <c r="N166" i="1"/>
  <c r="E166" i="1" s="1"/>
  <c r="B166" i="1" s="1"/>
  <c r="N302" i="1"/>
  <c r="E302" i="1" s="1"/>
  <c r="B302" i="1" s="1"/>
  <c r="N332" i="1"/>
  <c r="E332" i="1" s="1"/>
  <c r="B332" i="1" s="1"/>
  <c r="N210" i="1"/>
  <c r="E210" i="1" s="1"/>
  <c r="B210" i="1" s="1"/>
  <c r="N267" i="1"/>
  <c r="E267" i="1" s="1"/>
  <c r="B267" i="1" s="1"/>
  <c r="N244" i="1"/>
  <c r="E244" i="1" s="1"/>
  <c r="B244" i="1" s="1"/>
  <c r="N390" i="1"/>
  <c r="E390" i="1" s="1"/>
  <c r="N195" i="1"/>
  <c r="E195" i="1" s="1"/>
  <c r="B195" i="1" s="1"/>
  <c r="N249" i="1"/>
  <c r="E249" i="1" s="1"/>
  <c r="B249" i="1" s="1"/>
  <c r="N260" i="1"/>
  <c r="E260" i="1" s="1"/>
  <c r="B260" i="1" s="1"/>
  <c r="N365" i="1"/>
  <c r="E365" i="1" s="1"/>
  <c r="B365" i="1" s="1"/>
  <c r="N203" i="1"/>
  <c r="E203" i="1" s="1"/>
  <c r="B203" i="1" s="1"/>
  <c r="N163" i="1"/>
  <c r="E163" i="1" s="1"/>
  <c r="B163" i="1" s="1"/>
  <c r="N305" i="1"/>
  <c r="E305" i="1" s="1"/>
  <c r="B305" i="1" s="1"/>
  <c r="N371" i="1"/>
  <c r="E371" i="1" s="1"/>
  <c r="B371" i="1" s="1"/>
  <c r="N145" i="1"/>
  <c r="E145" i="1" s="1"/>
  <c r="B145" i="1" s="1"/>
  <c r="N69" i="1"/>
  <c r="E69" i="1" s="1"/>
  <c r="N130" i="1"/>
  <c r="E130" i="1" s="1"/>
  <c r="B130" i="1" s="1"/>
  <c r="N218" i="1"/>
  <c r="E218" i="1" s="1"/>
  <c r="B218" i="1" s="1"/>
  <c r="N321" i="1"/>
  <c r="E321" i="1" s="1"/>
  <c r="N15" i="1"/>
  <c r="E15" i="1" s="1"/>
  <c r="B15" i="1" s="1"/>
  <c r="N34" i="1"/>
  <c r="E34" i="1" s="1"/>
  <c r="B34" i="1" s="1"/>
  <c r="N40" i="1"/>
  <c r="E40" i="1" s="1"/>
  <c r="N39" i="1"/>
  <c r="E39" i="1" s="1"/>
  <c r="B39" i="1" s="1"/>
  <c r="N89" i="1"/>
  <c r="E89" i="1" s="1"/>
  <c r="N134" i="1"/>
  <c r="E134" i="1" s="1"/>
  <c r="B134" i="1" s="1"/>
  <c r="N194" i="1"/>
  <c r="E194" i="1" s="1"/>
  <c r="B194" i="1" s="1"/>
  <c r="N270" i="1"/>
  <c r="E270" i="1" s="1"/>
  <c r="B270" i="1" s="1"/>
  <c r="N382" i="1"/>
  <c r="E382" i="1" s="1"/>
  <c r="N29" i="1"/>
  <c r="E29" i="1" s="1"/>
  <c r="B29" i="1" s="1"/>
  <c r="N65" i="1"/>
  <c r="E65" i="1" s="1"/>
  <c r="N140" i="1"/>
  <c r="E140" i="1" s="1"/>
  <c r="B140" i="1" s="1"/>
  <c r="N154" i="1"/>
  <c r="E154" i="1" s="1"/>
  <c r="B154" i="1" s="1"/>
  <c r="N181" i="1"/>
  <c r="E181" i="1" s="1"/>
  <c r="B181" i="1" s="1"/>
  <c r="N225" i="1"/>
  <c r="E225" i="1" s="1"/>
  <c r="B225" i="1" s="1"/>
  <c r="N341" i="1"/>
  <c r="E341" i="1" s="1"/>
  <c r="B341" i="1" s="1"/>
  <c r="N379" i="1"/>
  <c r="E379" i="1" s="1"/>
  <c r="B379" i="1" s="1"/>
  <c r="N26" i="1"/>
  <c r="E26" i="1" s="1"/>
  <c r="N102" i="1"/>
  <c r="E102" i="1" s="1"/>
  <c r="B102" i="1" s="1"/>
  <c r="N96" i="1"/>
  <c r="E96" i="1" s="1"/>
  <c r="B96" i="1" s="1"/>
  <c r="N63" i="1"/>
  <c r="E63" i="1" s="1"/>
  <c r="B63" i="1" s="1"/>
  <c r="N88" i="1"/>
  <c r="E88" i="1" s="1"/>
  <c r="N243" i="1"/>
  <c r="E243" i="1" s="1"/>
  <c r="B243" i="1" s="1"/>
  <c r="N25" i="1"/>
  <c r="E25" i="1" s="1"/>
  <c r="N35" i="1"/>
  <c r="E35" i="1" s="1"/>
  <c r="B35" i="1" s="1"/>
  <c r="N17" i="1"/>
  <c r="N43" i="1"/>
  <c r="E43" i="1" s="1"/>
  <c r="B43" i="1" s="1"/>
  <c r="N66" i="1"/>
  <c r="E66" i="1" s="1"/>
  <c r="B66" i="1" s="1"/>
  <c r="N90" i="1"/>
  <c r="E90" i="1" s="1"/>
  <c r="B90" i="1" s="1"/>
  <c r="N111" i="1"/>
  <c r="E111" i="1" s="1"/>
  <c r="B111" i="1" s="1"/>
  <c r="N129" i="1"/>
  <c r="E129" i="1" s="1"/>
  <c r="B129" i="1" s="1"/>
  <c r="N16" i="1"/>
  <c r="E16" i="1" s="1"/>
  <c r="B16" i="1" s="1"/>
  <c r="N20" i="1"/>
  <c r="E20" i="1" s="1"/>
  <c r="N30" i="1"/>
  <c r="E30" i="1" s="1"/>
  <c r="N42" i="1"/>
  <c r="E42" i="1" s="1"/>
  <c r="B42" i="1" s="1"/>
  <c r="N84" i="1"/>
  <c r="E84" i="1" s="1"/>
  <c r="N97" i="1"/>
  <c r="E97" i="1" s="1"/>
  <c r="B97" i="1" s="1"/>
  <c r="N106" i="1"/>
  <c r="E106" i="1" s="1"/>
  <c r="B106" i="1" s="1"/>
  <c r="N110" i="1"/>
  <c r="E110" i="1" s="1"/>
  <c r="N147" i="1"/>
  <c r="E147" i="1" s="1"/>
  <c r="B147" i="1" s="1"/>
  <c r="N150" i="1"/>
  <c r="E150" i="1" s="1"/>
  <c r="B150" i="1" s="1"/>
  <c r="N197" i="1"/>
  <c r="E197" i="1" s="1"/>
  <c r="N216" i="1"/>
  <c r="E216" i="1" s="1"/>
  <c r="N235" i="1"/>
  <c r="E235" i="1" s="1"/>
  <c r="B235" i="1" s="1"/>
  <c r="N226" i="1"/>
  <c r="E226" i="1" s="1"/>
  <c r="N232" i="1"/>
  <c r="E232" i="1" s="1"/>
  <c r="B232" i="1" s="1"/>
  <c r="N237" i="1"/>
  <c r="E237" i="1" s="1"/>
  <c r="N265" i="1"/>
  <c r="E265" i="1" s="1"/>
  <c r="B265" i="1" s="1"/>
  <c r="N261" i="1"/>
  <c r="E261" i="1" s="1"/>
  <c r="N282" i="1"/>
  <c r="E282" i="1" s="1"/>
  <c r="B282" i="1" s="1"/>
  <c r="N284" i="1"/>
  <c r="E284" i="1" s="1"/>
  <c r="B284" i="1" s="1"/>
  <c r="N295" i="1"/>
  <c r="E295" i="1" s="1"/>
  <c r="B295" i="1" s="1"/>
  <c r="N292" i="1"/>
  <c r="E292" i="1" s="1"/>
  <c r="B292" i="1" s="1"/>
  <c r="N314" i="1"/>
  <c r="E314" i="1" s="1"/>
  <c r="B314" i="1" s="1"/>
  <c r="N363" i="1"/>
  <c r="E363" i="1" s="1"/>
  <c r="B363" i="1" s="1"/>
  <c r="N377" i="1"/>
  <c r="E377" i="1" s="1"/>
  <c r="B377" i="1" s="1"/>
  <c r="N380" i="1"/>
  <c r="E380" i="1" s="1"/>
  <c r="N383" i="1"/>
  <c r="E383" i="1" s="1"/>
  <c r="N385" i="1"/>
  <c r="E385" i="1" s="1"/>
  <c r="B385" i="1" s="1"/>
  <c r="N388" i="1"/>
  <c r="E388" i="1" s="1"/>
  <c r="N41" i="1"/>
  <c r="E41" i="1" s="1"/>
  <c r="N180" i="1"/>
  <c r="E180" i="1" s="1"/>
  <c r="B180" i="1" s="1"/>
  <c r="N72" i="1"/>
  <c r="E72" i="1" s="1"/>
  <c r="N50" i="1"/>
  <c r="E50" i="1" s="1"/>
  <c r="B50" i="1" s="1"/>
  <c r="N78" i="1"/>
  <c r="E78" i="1" s="1"/>
  <c r="B78" i="1" s="1"/>
  <c r="N85" i="1"/>
  <c r="E85" i="1" s="1"/>
  <c r="N101" i="1"/>
  <c r="E101" i="1" s="1"/>
  <c r="N119" i="1"/>
  <c r="E119" i="1" s="1"/>
  <c r="N122" i="1"/>
  <c r="E122" i="1" s="1"/>
  <c r="B122" i="1" s="1"/>
  <c r="N126" i="1"/>
  <c r="E126" i="1" s="1"/>
  <c r="B126" i="1" s="1"/>
  <c r="N136" i="1"/>
  <c r="E136" i="1" s="1"/>
  <c r="B136" i="1" s="1"/>
  <c r="N142" i="1"/>
  <c r="E142" i="1" s="1"/>
  <c r="B142" i="1" s="1"/>
  <c r="N148" i="1"/>
  <c r="E148" i="1" s="1"/>
  <c r="N157" i="1"/>
  <c r="E157" i="1" s="1"/>
  <c r="N169" i="1"/>
  <c r="E169" i="1" s="1"/>
  <c r="N173" i="1"/>
  <c r="E173" i="1" s="1"/>
  <c r="N198" i="1"/>
  <c r="E198" i="1" s="1"/>
  <c r="B198" i="1" s="1"/>
  <c r="N223" i="1"/>
  <c r="E223" i="1" s="1"/>
  <c r="B223" i="1" s="1"/>
  <c r="N238" i="1"/>
  <c r="E238" i="1" s="1"/>
  <c r="B238" i="1" s="1"/>
  <c r="N255" i="1"/>
  <c r="E255" i="1" s="1"/>
  <c r="B255" i="1" s="1"/>
  <c r="N271" i="1"/>
  <c r="E271" i="1" s="1"/>
  <c r="B271" i="1" s="1"/>
  <c r="N279" i="1"/>
  <c r="E279" i="1" s="1"/>
  <c r="B279" i="1" s="1"/>
  <c r="N293" i="1"/>
  <c r="E293" i="1" s="1"/>
  <c r="B293" i="1" s="1"/>
  <c r="N288" i="1"/>
  <c r="E288" i="1" s="1"/>
  <c r="B288" i="1" s="1"/>
  <c r="N311" i="1"/>
  <c r="E311" i="1" s="1"/>
  <c r="B311" i="1" s="1"/>
  <c r="N319" i="1"/>
  <c r="E319" i="1" s="1"/>
  <c r="B319" i="1" s="1"/>
  <c r="N325" i="1"/>
  <c r="E325" i="1" s="1"/>
  <c r="B325" i="1" s="1"/>
  <c r="N328" i="1"/>
  <c r="E328" i="1" s="1"/>
  <c r="B328" i="1" s="1"/>
  <c r="N330" i="1"/>
  <c r="E330" i="1" s="1"/>
  <c r="N334" i="1"/>
  <c r="E334" i="1" s="1"/>
  <c r="N336" i="1"/>
  <c r="E336" i="1" s="1"/>
  <c r="B336" i="1" s="1"/>
  <c r="N338" i="1"/>
  <c r="E338" i="1" s="1"/>
  <c r="N361" i="1"/>
  <c r="E361" i="1" s="1"/>
  <c r="N21" i="1"/>
  <c r="E21" i="1" s="1"/>
  <c r="B21" i="1" s="1"/>
  <c r="N49" i="1"/>
  <c r="E49" i="1" s="1"/>
  <c r="N52" i="1"/>
  <c r="E52" i="1" s="1"/>
  <c r="N54" i="1"/>
  <c r="E54" i="1" s="1"/>
  <c r="B54" i="1" s="1"/>
  <c r="N58" i="1"/>
  <c r="E58" i="1" s="1"/>
  <c r="B58" i="1" s="1"/>
  <c r="N73" i="1"/>
  <c r="E73" i="1" s="1"/>
  <c r="N80" i="1"/>
  <c r="E80" i="1" s="1"/>
  <c r="N100" i="1"/>
  <c r="E100" i="1" s="1"/>
  <c r="B100" i="1" s="1"/>
  <c r="N104" i="1"/>
  <c r="E104" i="1" s="1"/>
  <c r="N135" i="1"/>
  <c r="E135" i="1" s="1"/>
  <c r="B135" i="1" s="1"/>
  <c r="N156" i="1"/>
  <c r="E156" i="1" s="1"/>
  <c r="N168" i="1"/>
  <c r="E168" i="1" s="1"/>
  <c r="N185" i="1"/>
  <c r="E185" i="1" s="1"/>
  <c r="B185" i="1" s="1"/>
  <c r="N184" i="1"/>
  <c r="E184" i="1" s="1"/>
  <c r="B184" i="1" s="1"/>
  <c r="N214" i="1"/>
  <c r="E214" i="1" s="1"/>
  <c r="B214" i="1" s="1"/>
  <c r="N233" i="1"/>
  <c r="E233" i="1" s="1"/>
  <c r="B233" i="1" s="1"/>
  <c r="N245" i="1"/>
  <c r="E245" i="1" s="1"/>
  <c r="B245" i="1" s="1"/>
  <c r="N252" i="1"/>
  <c r="E252" i="1" s="1"/>
  <c r="B252" i="1" s="1"/>
  <c r="N253" i="1"/>
  <c r="E253" i="1" s="1"/>
  <c r="B253" i="1" s="1"/>
  <c r="N258" i="1"/>
  <c r="E258" i="1" s="1"/>
  <c r="B258" i="1" s="1"/>
  <c r="N310" i="1"/>
  <c r="E310" i="1" s="1"/>
  <c r="B310" i="1" s="1"/>
  <c r="N317" i="1"/>
  <c r="E317" i="1" s="1"/>
  <c r="B317" i="1" s="1"/>
  <c r="N322" i="1"/>
  <c r="E322" i="1" s="1"/>
  <c r="B322" i="1" s="1"/>
  <c r="N356" i="1"/>
  <c r="E356" i="1" s="1"/>
  <c r="B356" i="1" s="1"/>
  <c r="N360" i="1"/>
  <c r="E360" i="1" s="1"/>
  <c r="N366" i="1"/>
  <c r="E366" i="1" s="1"/>
  <c r="N373" i="1"/>
  <c r="E373" i="1" s="1"/>
  <c r="N62" i="1"/>
  <c r="E62" i="1" s="1"/>
  <c r="B62" i="1" s="1"/>
  <c r="N91" i="1"/>
  <c r="E91" i="1" s="1"/>
  <c r="B91" i="1" s="1"/>
  <c r="N138" i="1"/>
  <c r="E138" i="1" s="1"/>
  <c r="N151" i="1"/>
  <c r="E151" i="1" s="1"/>
  <c r="B151" i="1" s="1"/>
  <c r="N176" i="1"/>
  <c r="E176" i="1" s="1"/>
  <c r="N187" i="1"/>
  <c r="E187" i="1" s="1"/>
  <c r="N189" i="1"/>
  <c r="E189" i="1" s="1"/>
  <c r="B189" i="1" s="1"/>
  <c r="N201" i="1"/>
  <c r="E201" i="1" s="1"/>
  <c r="B201" i="1" s="1"/>
  <c r="N213" i="1"/>
  <c r="E213" i="1" s="1"/>
  <c r="B213" i="1" s="1"/>
  <c r="N208" i="1"/>
  <c r="E208" i="1" s="1"/>
  <c r="B208" i="1" s="1"/>
  <c r="N229" i="1"/>
  <c r="E229" i="1" s="1"/>
  <c r="B229" i="1" s="1"/>
  <c r="N247" i="1"/>
  <c r="E247" i="1" s="1"/>
  <c r="N274" i="1"/>
  <c r="E274" i="1" s="1"/>
  <c r="B274" i="1" s="1"/>
  <c r="N262" i="1"/>
  <c r="E262" i="1" s="1"/>
  <c r="N277" i="1"/>
  <c r="E277" i="1" s="1"/>
  <c r="N299" i="1"/>
  <c r="E299" i="1" s="1"/>
  <c r="B299" i="1" s="1"/>
  <c r="N298" i="1"/>
  <c r="E298" i="1" s="1"/>
  <c r="B298" i="1" s="1"/>
  <c r="N307" i="1"/>
  <c r="E307" i="1" s="1"/>
  <c r="N309" i="1"/>
  <c r="E309" i="1" s="1"/>
  <c r="B309" i="1" s="1"/>
  <c r="N327" i="1"/>
  <c r="E327" i="1" s="1"/>
  <c r="N352" i="1"/>
  <c r="E352" i="1" s="1"/>
  <c r="N368" i="1"/>
  <c r="E368" i="1" s="1"/>
  <c r="N375" i="1"/>
  <c r="E375" i="1" s="1"/>
  <c r="N393" i="1"/>
  <c r="E393" i="1" s="1"/>
  <c r="B393" i="1" s="1"/>
  <c r="N160" i="1"/>
  <c r="E160" i="1" s="1"/>
  <c r="N116" i="1"/>
  <c r="E116" i="1" s="1"/>
  <c r="B116" i="1" s="1"/>
  <c r="N161" i="1"/>
  <c r="E161" i="1" s="1"/>
  <c r="N172" i="1"/>
  <c r="E172" i="1" s="1"/>
  <c r="N44" i="1"/>
  <c r="E44" i="1" s="1"/>
  <c r="N67" i="1"/>
  <c r="E67" i="1" s="1"/>
  <c r="B67" i="1" s="1"/>
  <c r="N92" i="1"/>
  <c r="E92" i="1" s="1"/>
  <c r="N165" i="1"/>
  <c r="E165" i="1" s="1"/>
  <c r="N177" i="1"/>
  <c r="E177" i="1" s="1"/>
  <c r="N246" i="1"/>
  <c r="E246" i="1" s="1"/>
  <c r="N12" i="1"/>
  <c r="E12" i="1" s="1"/>
  <c r="N27" i="1"/>
  <c r="E27" i="1" s="1"/>
  <c r="B27" i="1" s="1"/>
  <c r="N55" i="1"/>
  <c r="E55" i="1" s="1"/>
  <c r="B55" i="1" s="1"/>
  <c r="N56" i="1"/>
  <c r="E56" i="1" s="1"/>
  <c r="N64" i="1"/>
  <c r="E64" i="1" s="1"/>
  <c r="N118" i="1"/>
  <c r="E118" i="1" s="1"/>
  <c r="B118" i="1" s="1"/>
  <c r="N125" i="1"/>
  <c r="E125" i="1" s="1"/>
  <c r="B125" i="1" s="1"/>
  <c r="N133" i="1"/>
  <c r="E133" i="1" s="1"/>
  <c r="N139" i="1"/>
  <c r="E139" i="1" s="1"/>
  <c r="B139" i="1" s="1"/>
  <c r="N144" i="1"/>
  <c r="E144" i="1" s="1"/>
  <c r="B144" i="1" s="1"/>
  <c r="N153" i="1"/>
  <c r="E153" i="1" s="1"/>
  <c r="N167" i="1"/>
  <c r="E167" i="1" s="1"/>
  <c r="B167" i="1" s="1"/>
  <c r="N174" i="1"/>
  <c r="E174" i="1" s="1"/>
  <c r="B174" i="1" s="1"/>
  <c r="N183" i="1"/>
  <c r="E183" i="1" s="1"/>
  <c r="B183" i="1" s="1"/>
  <c r="N204" i="1"/>
  <c r="E204" i="1" s="1"/>
  <c r="B204" i="1" s="1"/>
  <c r="N200" i="1"/>
  <c r="E200" i="1" s="1"/>
  <c r="B200" i="1" s="1"/>
  <c r="N215" i="1"/>
  <c r="E215" i="1" s="1"/>
  <c r="B215" i="1" s="1"/>
  <c r="N212" i="1"/>
  <c r="E212" i="1" s="1"/>
  <c r="B212" i="1" s="1"/>
  <c r="N222" i="1"/>
  <c r="E222" i="1" s="1"/>
  <c r="B222" i="1" s="1"/>
  <c r="N231" i="1"/>
  <c r="E231" i="1" s="1"/>
  <c r="B231" i="1" s="1"/>
  <c r="N228" i="1"/>
  <c r="E228" i="1" s="1"/>
  <c r="B228" i="1" s="1"/>
  <c r="N239" i="1"/>
  <c r="E239" i="1" s="1"/>
  <c r="B239" i="1" s="1"/>
  <c r="N248" i="1"/>
  <c r="E248" i="1" s="1"/>
  <c r="N254" i="1"/>
  <c r="E254" i="1" s="1"/>
  <c r="B254" i="1" s="1"/>
  <c r="N259" i="1"/>
  <c r="E259" i="1" s="1"/>
  <c r="B259" i="1" s="1"/>
  <c r="N268" i="1"/>
  <c r="E268" i="1" s="1"/>
  <c r="B268" i="1" s="1"/>
  <c r="N266" i="1"/>
  <c r="E266" i="1" s="1"/>
  <c r="B266" i="1" s="1"/>
  <c r="N269" i="1"/>
  <c r="E269" i="1" s="1"/>
  <c r="B269" i="1" s="1"/>
  <c r="N315" i="1"/>
  <c r="E315" i="1" s="1"/>
  <c r="B315" i="1" s="1"/>
  <c r="N318" i="1"/>
  <c r="E318" i="1" s="1"/>
  <c r="B318" i="1" s="1"/>
  <c r="N324" i="1"/>
  <c r="E324" i="1" s="1"/>
  <c r="B324" i="1" s="1"/>
  <c r="N331" i="1"/>
  <c r="E331" i="1" s="1"/>
  <c r="N335" i="1"/>
  <c r="E335" i="1" s="1"/>
  <c r="N350" i="1"/>
  <c r="E350" i="1" s="1"/>
  <c r="N353" i="1"/>
  <c r="E353" i="1" s="1"/>
  <c r="N358" i="1"/>
  <c r="E358" i="1" s="1"/>
  <c r="N370" i="1"/>
  <c r="E370" i="1" s="1"/>
  <c r="B370" i="1" s="1"/>
  <c r="N376" i="1"/>
  <c r="E376" i="1" s="1"/>
  <c r="B376" i="1" s="1"/>
  <c r="N381" i="1"/>
  <c r="E381" i="1" s="1"/>
  <c r="N389" i="1"/>
  <c r="E389" i="1" s="1"/>
  <c r="N392" i="1"/>
  <c r="E392" i="1" s="1"/>
  <c r="B392" i="1" s="1"/>
  <c r="N82" i="1"/>
  <c r="E82" i="1" s="1"/>
  <c r="B82" i="1" s="1"/>
  <c r="N127" i="1"/>
  <c r="E127" i="1" s="1"/>
  <c r="B127" i="1" s="1"/>
  <c r="N199" i="1"/>
  <c r="E199" i="1" s="1"/>
  <c r="B199" i="1" s="1"/>
  <c r="N256" i="1"/>
  <c r="E256" i="1" s="1"/>
  <c r="B256" i="1" s="1"/>
  <c r="N280" i="1"/>
  <c r="E280" i="1" s="1"/>
  <c r="B280" i="1" s="1"/>
  <c r="N46" i="1"/>
  <c r="E46" i="1" s="1"/>
  <c r="B46" i="1" s="1"/>
  <c r="N79" i="1"/>
  <c r="E79" i="1" s="1"/>
  <c r="B79" i="1" s="1"/>
  <c r="N164" i="1"/>
  <c r="E164" i="1" s="1"/>
  <c r="N105" i="1"/>
  <c r="E105" i="1" s="1"/>
  <c r="B105" i="1" s="1"/>
  <c r="N107" i="1"/>
  <c r="E107" i="1" s="1"/>
  <c r="N143" i="1"/>
  <c r="E143" i="1" s="1"/>
  <c r="N152" i="1"/>
  <c r="E152" i="1" s="1"/>
  <c r="N188" i="1"/>
  <c r="E188" i="1" s="1"/>
  <c r="B188" i="1" s="1"/>
  <c r="N281" i="1"/>
  <c r="E281" i="1" s="1"/>
  <c r="B281" i="1" s="1"/>
  <c r="N357" i="1"/>
  <c r="E357" i="1" s="1"/>
  <c r="B357" i="1" s="1"/>
  <c r="N51" i="1"/>
  <c r="E51" i="1" s="1"/>
  <c r="B51" i="1" s="1"/>
  <c r="N77" i="1"/>
  <c r="E77" i="1" s="1"/>
  <c r="N109" i="1"/>
  <c r="E109" i="1" s="1"/>
  <c r="B109" i="1" s="1"/>
  <c r="N117" i="1"/>
  <c r="E117" i="1" s="1"/>
  <c r="N120" i="1"/>
  <c r="E120" i="1" s="1"/>
  <c r="B120" i="1" s="1"/>
  <c r="N121" i="1"/>
  <c r="E121" i="1" s="1"/>
  <c r="N124" i="1"/>
  <c r="E124" i="1" s="1"/>
  <c r="B124" i="1" s="1"/>
  <c r="N141" i="1"/>
  <c r="E141" i="1" s="1"/>
  <c r="B141" i="1" s="1"/>
  <c r="N146" i="1"/>
  <c r="E146" i="1" s="1"/>
  <c r="B146" i="1" s="1"/>
  <c r="N149" i="1"/>
  <c r="E149" i="1" s="1"/>
  <c r="N155" i="1"/>
  <c r="E155" i="1" s="1"/>
  <c r="B155" i="1" s="1"/>
  <c r="N206" i="1"/>
  <c r="E206" i="1" s="1"/>
  <c r="N224" i="1"/>
  <c r="E224" i="1" s="1"/>
  <c r="B224" i="1" s="1"/>
  <c r="N221" i="1"/>
  <c r="E221" i="1" s="1"/>
  <c r="B221" i="1" s="1"/>
  <c r="N234" i="1"/>
  <c r="E234" i="1" s="1"/>
  <c r="B234" i="1" s="1"/>
  <c r="N250" i="1"/>
  <c r="E250" i="1" s="1"/>
  <c r="B250" i="1" s="1"/>
  <c r="N275" i="1"/>
  <c r="E275" i="1" s="1"/>
  <c r="B275" i="1" s="1"/>
  <c r="N272" i="1"/>
  <c r="E272" i="1" s="1"/>
  <c r="B272" i="1" s="1"/>
  <c r="N276" i="1"/>
  <c r="E276" i="1" s="1"/>
  <c r="N290" i="1"/>
  <c r="E290" i="1" s="1"/>
  <c r="B290" i="1" s="1"/>
  <c r="N306" i="1"/>
  <c r="E306" i="1" s="1"/>
  <c r="N312" i="1"/>
  <c r="E312" i="1" s="1"/>
  <c r="B312" i="1" s="1"/>
  <c r="N316" i="1"/>
  <c r="E316" i="1" s="1"/>
  <c r="N342" i="1"/>
  <c r="E342" i="1" s="1"/>
  <c r="B342" i="1" s="1"/>
  <c r="N340" i="1"/>
  <c r="E340" i="1" s="1"/>
  <c r="N343" i="1"/>
  <c r="E343" i="1" s="1"/>
  <c r="B343" i="1" s="1"/>
  <c r="N354" i="1"/>
  <c r="E354" i="1" s="1"/>
  <c r="B354" i="1" s="1"/>
  <c r="N362" i="1"/>
  <c r="E362" i="1" s="1"/>
  <c r="B362" i="1" s="1"/>
  <c r="N364" i="1"/>
  <c r="E364" i="1" s="1"/>
  <c r="B364" i="1" s="1"/>
  <c r="N378" i="1"/>
  <c r="E378" i="1" s="1"/>
  <c r="B378" i="1" s="1"/>
  <c r="N391" i="1"/>
  <c r="E391" i="1" s="1"/>
  <c r="B391" i="1" s="1"/>
  <c r="N114" i="1"/>
  <c r="E114" i="1" s="1"/>
  <c r="B114" i="1" s="1"/>
  <c r="N329" i="1"/>
  <c r="E329" i="1" s="1"/>
  <c r="B329" i="1" s="1"/>
  <c r="N22" i="1"/>
  <c r="E22" i="1" s="1"/>
  <c r="B22" i="1" s="1"/>
  <c r="N103" i="1"/>
  <c r="E103" i="1" s="1"/>
  <c r="B103" i="1" s="1"/>
  <c r="N303" i="1"/>
  <c r="E303" i="1" s="1"/>
  <c r="B303" i="1" s="1"/>
  <c r="N333" i="1"/>
  <c r="E333" i="1" s="1"/>
  <c r="B333" i="1" s="1"/>
  <c r="N369" i="1"/>
  <c r="E369" i="1" s="1"/>
  <c r="B369" i="1" s="1"/>
  <c r="N53" i="1"/>
  <c r="E53" i="1" s="1"/>
  <c r="N59" i="1"/>
  <c r="E59" i="1" s="1"/>
  <c r="B59" i="1" s="1"/>
  <c r="N60" i="1"/>
  <c r="E60" i="1" s="1"/>
  <c r="N75" i="1"/>
  <c r="E75" i="1" s="1"/>
  <c r="B75" i="1" s="1"/>
  <c r="N76" i="1"/>
  <c r="E76" i="1" s="1"/>
  <c r="N112" i="1"/>
  <c r="E112" i="1" s="1"/>
  <c r="B112" i="1" s="1"/>
  <c r="N123" i="1"/>
  <c r="E123" i="1" s="1"/>
  <c r="N131" i="1"/>
  <c r="E131" i="1" s="1"/>
  <c r="B131" i="1" s="1"/>
  <c r="N137" i="1"/>
  <c r="E137" i="1" s="1"/>
  <c r="B137" i="1" s="1"/>
  <c r="N178" i="1"/>
  <c r="E178" i="1" s="1"/>
  <c r="B178" i="1" s="1"/>
  <c r="N182" i="1"/>
  <c r="E182" i="1" s="1"/>
  <c r="B182" i="1" s="1"/>
  <c r="N186" i="1"/>
  <c r="E186" i="1" s="1"/>
  <c r="N190" i="1"/>
  <c r="E190" i="1" s="1"/>
  <c r="B190" i="1" s="1"/>
  <c r="N196" i="1"/>
  <c r="E196" i="1" s="1"/>
  <c r="N202" i="1"/>
  <c r="E202" i="1" s="1"/>
  <c r="B202" i="1" s="1"/>
  <c r="N211" i="1"/>
  <c r="E211" i="1" s="1"/>
  <c r="B211" i="1" s="1"/>
  <c r="N217" i="1"/>
  <c r="E217" i="1" s="1"/>
  <c r="N219" i="1"/>
  <c r="E219" i="1" s="1"/>
  <c r="B219" i="1" s="1"/>
  <c r="N227" i="1"/>
  <c r="E227" i="1" s="1"/>
  <c r="N230" i="1"/>
  <c r="E230" i="1" s="1"/>
  <c r="B230" i="1" s="1"/>
  <c r="N236" i="1"/>
  <c r="E236" i="1" s="1"/>
  <c r="N285" i="1"/>
  <c r="E285" i="1" s="1"/>
  <c r="B285" i="1" s="1"/>
  <c r="N278" i="1"/>
  <c r="E278" i="1" s="1"/>
  <c r="B278" i="1" s="1"/>
  <c r="N283" i="1"/>
  <c r="E283" i="1" s="1"/>
  <c r="B283" i="1" s="1"/>
  <c r="N289" i="1"/>
  <c r="E289" i="1" s="1"/>
  <c r="B289" i="1" s="1"/>
  <c r="N301" i="1"/>
  <c r="E301" i="1" s="1"/>
  <c r="B301" i="1" s="1"/>
  <c r="N320" i="1"/>
  <c r="E320" i="1" s="1"/>
  <c r="B320" i="1" s="1"/>
  <c r="N323" i="1"/>
  <c r="E323" i="1" s="1"/>
  <c r="B323" i="1" s="1"/>
  <c r="N367" i="1"/>
  <c r="E367" i="1" s="1"/>
  <c r="N374" i="1"/>
  <c r="E374" i="1" s="1"/>
  <c r="N386" i="1"/>
  <c r="E386" i="1" s="1"/>
  <c r="B386" i="1" s="1"/>
  <c r="N337" i="1"/>
  <c r="E337" i="1" s="1"/>
  <c r="B337" i="1" s="1"/>
  <c r="N24" i="1"/>
  <c r="E24" i="1" s="1"/>
  <c r="N74" i="1"/>
  <c r="E74" i="1" s="1"/>
  <c r="B74" i="1" s="1"/>
  <c r="N68" i="1"/>
  <c r="E68" i="1" s="1"/>
  <c r="N128" i="1"/>
  <c r="E128" i="1" s="1"/>
  <c r="N294" i="1"/>
  <c r="E294" i="1" s="1"/>
  <c r="B294" i="1" s="1"/>
  <c r="N300" i="1"/>
  <c r="E300" i="1" s="1"/>
  <c r="B300" i="1" s="1"/>
  <c r="N339" i="1"/>
  <c r="E339" i="1" s="1"/>
  <c r="N372" i="1"/>
  <c r="E372" i="1" s="1"/>
  <c r="N31" i="1"/>
  <c r="E31" i="1" s="1"/>
  <c r="B31" i="1" s="1"/>
  <c r="N48" i="1"/>
  <c r="E48" i="1" s="1"/>
  <c r="N14" i="1"/>
  <c r="E14" i="1" s="1"/>
  <c r="E18" i="1"/>
  <c r="N33" i="1"/>
  <c r="E33" i="1" s="1"/>
  <c r="N38" i="1"/>
  <c r="E38" i="1" s="1"/>
  <c r="B38" i="1" s="1"/>
  <c r="N36" i="1"/>
  <c r="E36" i="1" s="1"/>
  <c r="N57" i="1"/>
  <c r="E57" i="1" s="1"/>
  <c r="N61" i="1"/>
  <c r="E61" i="1" s="1"/>
  <c r="N70" i="1"/>
  <c r="E70" i="1" s="1"/>
  <c r="B70" i="1" s="1"/>
  <c r="N71" i="1"/>
  <c r="E71" i="1" s="1"/>
  <c r="B71" i="1" s="1"/>
  <c r="N83" i="1"/>
  <c r="E83" i="1" s="1"/>
  <c r="B83" i="1" s="1"/>
  <c r="N86" i="1"/>
  <c r="E86" i="1" s="1"/>
  <c r="B86" i="1" s="1"/>
  <c r="N87" i="1"/>
  <c r="E87" i="1" s="1"/>
  <c r="B87" i="1" s="1"/>
  <c r="N93" i="1"/>
  <c r="E93" i="1" s="1"/>
  <c r="B93" i="1" s="1"/>
  <c r="N95" i="1"/>
  <c r="E95" i="1" s="1"/>
  <c r="N98" i="1"/>
  <c r="E98" i="1" s="1"/>
  <c r="N158" i="1"/>
  <c r="E158" i="1" s="1"/>
  <c r="B158" i="1" s="1"/>
  <c r="N162" i="1"/>
  <c r="E162" i="1" s="1"/>
  <c r="B162" i="1" s="1"/>
  <c r="N170" i="1"/>
  <c r="E170" i="1" s="1"/>
  <c r="B170" i="1" s="1"/>
  <c r="N179" i="1"/>
  <c r="E179" i="1" s="1"/>
  <c r="B179" i="1" s="1"/>
  <c r="N192" i="1"/>
  <c r="E192" i="1" s="1"/>
  <c r="B192" i="1" s="1"/>
  <c r="N207" i="1"/>
  <c r="E207" i="1" s="1"/>
  <c r="N209" i="1"/>
  <c r="E209" i="1" s="1"/>
  <c r="B209" i="1" s="1"/>
  <c r="N241" i="1"/>
  <c r="E241" i="1" s="1"/>
  <c r="B241" i="1" s="1"/>
  <c r="N242" i="1"/>
  <c r="E242" i="1" s="1"/>
  <c r="B242" i="1" s="1"/>
  <c r="N251" i="1"/>
  <c r="E251" i="1" s="1"/>
  <c r="B251" i="1" s="1"/>
  <c r="N257" i="1"/>
  <c r="E257" i="1" s="1"/>
  <c r="B257" i="1" s="1"/>
  <c r="N273" i="1"/>
  <c r="E273" i="1" s="1"/>
  <c r="B273" i="1" s="1"/>
  <c r="N264" i="1"/>
  <c r="E264" i="1" s="1"/>
  <c r="B264" i="1" s="1"/>
  <c r="N286" i="1"/>
  <c r="E286" i="1" s="1"/>
  <c r="N291" i="1"/>
  <c r="E291" i="1" s="1"/>
  <c r="B291" i="1" s="1"/>
  <c r="N296" i="1"/>
  <c r="E296" i="1" s="1"/>
  <c r="N297" i="1"/>
  <c r="E297" i="1" s="1"/>
  <c r="N313" i="1"/>
  <c r="E313" i="1" s="1"/>
  <c r="B313" i="1" s="1"/>
  <c r="N308" i="1"/>
  <c r="E308" i="1" s="1"/>
  <c r="B308" i="1" s="1"/>
  <c r="N326" i="1"/>
  <c r="E326" i="1" s="1"/>
  <c r="N351" i="1"/>
  <c r="E351" i="1" s="1"/>
  <c r="N355" i="1"/>
  <c r="E355" i="1" s="1"/>
  <c r="B355" i="1" s="1"/>
  <c r="N359" i="1"/>
  <c r="E359" i="1" s="1"/>
  <c r="N384" i="1"/>
  <c r="E384" i="1" s="1"/>
  <c r="B384" i="1" s="1"/>
  <c r="N387" i="1"/>
  <c r="E387" i="1" s="1"/>
  <c r="B387" i="1" s="1"/>
  <c r="S157" i="1"/>
  <c r="S159" i="1"/>
  <c r="S158" i="1"/>
  <c r="S156" i="1"/>
  <c r="E17" i="1" l="1"/>
  <c r="B17" i="1" s="1"/>
  <c r="A346" i="1"/>
  <c r="B345" i="1"/>
  <c r="B346" i="1"/>
  <c r="A344" i="1"/>
  <c r="B344" i="1"/>
  <c r="A345" i="1"/>
  <c r="B176" i="1"/>
  <c r="B360" i="1"/>
  <c r="B368" i="1"/>
  <c r="B358" i="1"/>
  <c r="B3" i="1"/>
  <c r="B30" i="1"/>
  <c r="B73" i="1"/>
  <c r="B65" i="1"/>
  <c r="B101" i="1"/>
  <c r="B138" i="1"/>
  <c r="B276" i="1"/>
  <c r="B247" i="1"/>
  <c r="B246" i="1"/>
  <c r="B326" i="1"/>
  <c r="B161" i="1"/>
  <c r="B339" i="1"/>
  <c r="B48" i="1"/>
  <c r="B197" i="1"/>
  <c r="B351" i="1"/>
  <c r="B84" i="1"/>
  <c r="B133" i="1"/>
  <c r="B327" i="1"/>
  <c r="B352" i="1"/>
  <c r="B366" i="1"/>
  <c r="B168" i="1"/>
  <c r="B359" i="1"/>
  <c r="B89" i="1"/>
  <c r="B382" i="1"/>
  <c r="B380" i="1"/>
  <c r="B381" i="1"/>
  <c r="B20" i="1"/>
  <c r="B187" i="1"/>
  <c r="B353" i="1"/>
  <c r="B41" i="1"/>
  <c r="B156" i="1"/>
  <c r="B6" i="1"/>
  <c r="B121" i="1"/>
  <c r="B389" i="1"/>
  <c r="B177" i="1"/>
  <c r="B361" i="1"/>
  <c r="B88" i="1"/>
  <c r="B69" i="1"/>
  <c r="B296" i="1"/>
  <c r="B37" i="1"/>
  <c r="B263" i="1"/>
  <c r="B49" i="1"/>
  <c r="B7" i="1"/>
  <c r="B227" i="1"/>
  <c r="B40" i="1"/>
  <c r="B57" i="1"/>
  <c r="B19" i="1"/>
  <c r="B216" i="1"/>
  <c r="B123" i="1"/>
  <c r="B262" i="1"/>
  <c r="B143" i="1"/>
  <c r="B226" i="1"/>
  <c r="B287" i="1"/>
  <c r="B33" i="1"/>
  <c r="B45" i="1"/>
  <c r="B173" i="1"/>
  <c r="B95" i="1"/>
  <c r="B157" i="1"/>
  <c r="B81" i="1"/>
  <c r="B306" i="1"/>
  <c r="B237" i="1"/>
  <c r="B375" i="1"/>
  <c r="B14" i="1"/>
  <c r="B117" i="1"/>
  <c r="B8" i="1"/>
  <c r="B331" i="1"/>
  <c r="B32" i="1"/>
  <c r="B24" i="1"/>
  <c r="B98" i="1"/>
  <c r="B115" i="1"/>
  <c r="B217" i="1"/>
  <c r="B206" i="1"/>
  <c r="B169" i="1"/>
  <c r="B76" i="1"/>
  <c r="B165" i="1"/>
  <c r="B77" i="1"/>
  <c r="B186" i="1"/>
  <c r="B104" i="1"/>
  <c r="B85" i="1"/>
  <c r="B61" i="1"/>
  <c r="B374" i="1"/>
  <c r="B338" i="1"/>
  <c r="B236" i="1"/>
  <c r="B390" i="1"/>
  <c r="B316" i="1"/>
  <c r="B44" i="1"/>
  <c r="B277" i="1"/>
  <c r="B153" i="1"/>
  <c r="B261" i="1"/>
  <c r="B25" i="1"/>
  <c r="B113" i="1"/>
  <c r="B149" i="1"/>
  <c r="B107" i="1"/>
  <c r="B340" i="1"/>
  <c r="B64" i="1"/>
  <c r="B196" i="1"/>
  <c r="B36" i="1"/>
  <c r="B207" i="1"/>
  <c r="B110" i="1"/>
  <c r="B372" i="1"/>
  <c r="B52" i="1"/>
  <c r="B26" i="1"/>
  <c r="B18" i="1"/>
  <c r="B13" i="1"/>
  <c r="B53" i="1"/>
  <c r="B56" i="1"/>
  <c r="B164" i="1"/>
  <c r="B160" i="1"/>
  <c r="B92" i="1"/>
  <c r="B119" i="1"/>
  <c r="B60" i="1"/>
  <c r="B172" i="1"/>
  <c r="B72" i="1"/>
  <c r="B152" i="1"/>
  <c r="B128" i="1"/>
  <c r="B68" i="1"/>
  <c r="B148" i="1"/>
  <c r="B80" i="1"/>
  <c r="B335" i="1"/>
  <c r="B388" i="1"/>
  <c r="B297" i="1"/>
  <c r="B367" i="1"/>
  <c r="B307" i="1"/>
  <c r="B248" i="1"/>
  <c r="B321" i="1"/>
  <c r="B330" i="1"/>
  <c r="B383" i="1"/>
  <c r="B286" i="1"/>
  <c r="B373" i="1"/>
  <c r="B350" i="1"/>
  <c r="B334" i="1"/>
  <c r="B12" i="1"/>
  <c r="A308" i="1"/>
  <c r="A272" i="1"/>
  <c r="A82" i="1"/>
  <c r="A144" i="1"/>
  <c r="A151" i="1"/>
  <c r="A96" i="1"/>
  <c r="A195" i="1"/>
  <c r="A313" i="1"/>
  <c r="A182" i="1"/>
  <c r="A275" i="1"/>
  <c r="A392" i="1"/>
  <c r="A139" i="1"/>
  <c r="A229" i="1"/>
  <c r="A336" i="1"/>
  <c r="A385" i="1"/>
  <c r="A43" i="1"/>
  <c r="A371" i="1"/>
  <c r="A304" i="1"/>
  <c r="A242" i="1"/>
  <c r="A301" i="1"/>
  <c r="A114" i="1"/>
  <c r="A250" i="1"/>
  <c r="A141" i="1"/>
  <c r="A357" i="1"/>
  <c r="A79" i="1"/>
  <c r="A254" i="1"/>
  <c r="A200" i="1"/>
  <c r="A116" i="1"/>
  <c r="A208" i="1"/>
  <c r="A91" i="1"/>
  <c r="A310" i="1"/>
  <c r="A185" i="1"/>
  <c r="A58" i="1"/>
  <c r="A279" i="1"/>
  <c r="A282" i="1"/>
  <c r="A29" i="1"/>
  <c r="A34" i="1"/>
  <c r="A305" i="1"/>
  <c r="A244" i="1"/>
  <c r="A108" i="1"/>
  <c r="A240" i="1"/>
  <c r="A205" i="1"/>
  <c r="A170" i="1"/>
  <c r="A323" i="1"/>
  <c r="A22" i="1"/>
  <c r="A27" i="1"/>
  <c r="A39" i="1"/>
  <c r="A162" i="1"/>
  <c r="A320" i="1"/>
  <c r="A329" i="1"/>
  <c r="A215" i="1"/>
  <c r="A309" i="1"/>
  <c r="A184" i="1"/>
  <c r="A132" i="1"/>
  <c r="A158" i="1"/>
  <c r="A74" i="1"/>
  <c r="A178" i="1"/>
  <c r="A289" i="1"/>
  <c r="A124" i="1"/>
  <c r="A204" i="1"/>
  <c r="A62" i="1"/>
  <c r="A78" i="1"/>
  <c r="A150" i="1"/>
  <c r="A379" i="1"/>
  <c r="A163" i="1"/>
  <c r="A191" i="1"/>
  <c r="A337" i="1"/>
  <c r="A369" i="1"/>
  <c r="A221" i="1"/>
  <c r="A280" i="1"/>
  <c r="A239" i="1"/>
  <c r="A118" i="1"/>
  <c r="A299" i="1"/>
  <c r="A253" i="1"/>
  <c r="A255" i="1"/>
  <c r="A377" i="1"/>
  <c r="A147" i="1"/>
  <c r="A23" i="1"/>
  <c r="A355" i="1"/>
  <c r="A93" i="1"/>
  <c r="A386" i="1"/>
  <c r="A278" i="1"/>
  <c r="A202" i="1"/>
  <c r="A333" i="1"/>
  <c r="A364" i="1"/>
  <c r="A224" i="1"/>
  <c r="A120" i="1"/>
  <c r="A256" i="1"/>
  <c r="A370" i="1"/>
  <c r="A315" i="1"/>
  <c r="A228" i="1"/>
  <c r="A174" i="1"/>
  <c r="A189" i="1"/>
  <c r="A252" i="1"/>
  <c r="A135" i="1"/>
  <c r="A325" i="1"/>
  <c r="A238" i="1"/>
  <c r="A136" i="1"/>
  <c r="A363" i="1"/>
  <c r="A129" i="1"/>
  <c r="A243" i="1"/>
  <c r="A225" i="1"/>
  <c r="A194" i="1"/>
  <c r="A218" i="1"/>
  <c r="A365" i="1"/>
  <c r="A332" i="1"/>
  <c r="A99" i="1"/>
  <c r="A94" i="1"/>
  <c r="A257" i="1"/>
  <c r="A75" i="1"/>
  <c r="A268" i="1"/>
  <c r="A322" i="1"/>
  <c r="A288" i="1"/>
  <c r="A295" i="1"/>
  <c r="A66" i="1"/>
  <c r="A145" i="1"/>
  <c r="A251" i="1"/>
  <c r="A146" i="1"/>
  <c r="A259" i="1"/>
  <c r="A317" i="1"/>
  <c r="A293" i="1"/>
  <c r="A284" i="1"/>
  <c r="A102" i="1"/>
  <c r="A171" i="1"/>
  <c r="A387" i="1"/>
  <c r="A70" i="1"/>
  <c r="A219" i="1"/>
  <c r="A342" i="1"/>
  <c r="A241" i="1"/>
  <c r="A31" i="1"/>
  <c r="A391" i="1"/>
  <c r="A281" i="1"/>
  <c r="A324" i="1"/>
  <c r="A125" i="1"/>
  <c r="A298" i="1"/>
  <c r="A271" i="1"/>
  <c r="A267" i="1"/>
  <c r="A193" i="1"/>
  <c r="A209" i="1"/>
  <c r="A211" i="1"/>
  <c r="A378" i="1"/>
  <c r="A376" i="1"/>
  <c r="A183" i="1"/>
  <c r="A393" i="1"/>
  <c r="A328" i="1"/>
  <c r="A50" i="1"/>
  <c r="A16" i="1"/>
  <c r="A270" i="1"/>
  <c r="A210" i="1"/>
  <c r="A264" i="1"/>
  <c r="A192" i="1"/>
  <c r="A87" i="1"/>
  <c r="A38" i="1"/>
  <c r="A300" i="1"/>
  <c r="A285" i="1"/>
  <c r="A112" i="1"/>
  <c r="A303" i="1"/>
  <c r="A362" i="1"/>
  <c r="A290" i="1"/>
  <c r="A199" i="1"/>
  <c r="A269" i="1"/>
  <c r="A231" i="1"/>
  <c r="A167" i="1"/>
  <c r="A67" i="1"/>
  <c r="A245" i="1"/>
  <c r="A21" i="1"/>
  <c r="A319" i="1"/>
  <c r="A223" i="1"/>
  <c r="A126" i="1"/>
  <c r="A180" i="1"/>
  <c r="A314" i="1"/>
  <c r="A232" i="1"/>
  <c r="A106" i="1"/>
  <c r="A111" i="1"/>
  <c r="A181" i="1"/>
  <c r="A134" i="1"/>
  <c r="A130" i="1"/>
  <c r="A260" i="1"/>
  <c r="A302" i="1"/>
  <c r="A28" i="1"/>
  <c r="A83" i="1"/>
  <c r="A230" i="1"/>
  <c r="A343" i="1"/>
  <c r="A105" i="1"/>
  <c r="A212" i="1"/>
  <c r="A214" i="1"/>
  <c r="A235" i="1"/>
  <c r="A140" i="1"/>
  <c r="A159" i="1"/>
  <c r="A71" i="1"/>
  <c r="A51" i="1"/>
  <c r="A42" i="1"/>
  <c r="A59" i="1"/>
  <c r="A384" i="1"/>
  <c r="A137" i="1"/>
  <c r="A234" i="1"/>
  <c r="A46" i="1"/>
  <c r="A213" i="1"/>
  <c r="A258" i="1"/>
  <c r="A54" i="1"/>
  <c r="A35" i="1"/>
  <c r="A15" i="1"/>
  <c r="A47" i="1"/>
  <c r="A291" i="1"/>
  <c r="A283" i="1"/>
  <c r="A131" i="1"/>
  <c r="A312" i="1"/>
  <c r="A188" i="1"/>
  <c r="A318" i="1"/>
  <c r="A201" i="1"/>
  <c r="A142" i="1"/>
  <c r="A265" i="1"/>
  <c r="A341" i="1"/>
  <c r="A203" i="1"/>
  <c r="A175" i="1"/>
  <c r="A273" i="1"/>
  <c r="A179" i="1"/>
  <c r="A86" i="1"/>
  <c r="A294" i="1"/>
  <c r="A190" i="1"/>
  <c r="A103" i="1"/>
  <c r="A354" i="1"/>
  <c r="A155" i="1"/>
  <c r="A109" i="1"/>
  <c r="A127" i="1"/>
  <c r="A266" i="1"/>
  <c r="A222" i="1"/>
  <c r="A55" i="1"/>
  <c r="A274" i="1"/>
  <c r="A356" i="1"/>
  <c r="A233" i="1"/>
  <c r="A100" i="1"/>
  <c r="A311" i="1"/>
  <c r="A198" i="1"/>
  <c r="A122" i="1"/>
  <c r="A292" i="1"/>
  <c r="A97" i="1"/>
  <c r="A90" i="1"/>
  <c r="A63" i="1"/>
  <c r="A154" i="1"/>
  <c r="A249" i="1"/>
  <c r="A166" i="1"/>
  <c r="A220" i="1"/>
  <c r="A196" i="1"/>
  <c r="A117" i="1"/>
  <c r="A143" i="1"/>
  <c r="A262" i="1"/>
  <c r="A88" i="1"/>
  <c r="A327" i="1"/>
  <c r="A84" i="1"/>
  <c r="A123" i="1"/>
  <c r="A64" i="1"/>
  <c r="A277" i="1"/>
  <c r="A7" i="1"/>
  <c r="A6" i="1"/>
  <c r="A247" i="1"/>
  <c r="A53" i="1"/>
  <c r="A381" i="1"/>
  <c r="A177" i="1"/>
  <c r="A380" i="1"/>
  <c r="A261" i="1"/>
  <c r="A20" i="1"/>
  <c r="A382" i="1"/>
  <c r="A296" i="1"/>
  <c r="A326" i="1"/>
  <c r="A33" i="1"/>
  <c r="A276" i="1"/>
  <c r="A226" i="1"/>
  <c r="A89" i="1"/>
  <c r="A69" i="1"/>
  <c r="A287" i="1"/>
  <c r="A8" i="1"/>
  <c r="A138" i="1"/>
  <c r="A73" i="1"/>
  <c r="A101" i="1"/>
  <c r="A65" i="1"/>
  <c r="A297" i="1"/>
  <c r="A48" i="1"/>
  <c r="A389" i="1"/>
  <c r="A331" i="1"/>
  <c r="A133" i="1"/>
  <c r="A246" i="1"/>
  <c r="A307" i="1"/>
  <c r="A334" i="1"/>
  <c r="A157" i="1"/>
  <c r="A85" i="1"/>
  <c r="A383" i="1"/>
  <c r="A197" i="1"/>
  <c r="A30" i="1"/>
  <c r="A26" i="1"/>
  <c r="A3" i="1"/>
  <c r="A160" i="1"/>
  <c r="A168" i="1"/>
  <c r="A330" i="1"/>
  <c r="A148" i="1"/>
  <c r="A359" i="1"/>
  <c r="A57" i="1"/>
  <c r="A121" i="1"/>
  <c r="A52" i="1"/>
  <c r="A24" i="1"/>
  <c r="A217" i="1"/>
  <c r="A321" i="1"/>
  <c r="A207" i="1"/>
  <c r="A366" i="1"/>
  <c r="A72" i="1"/>
  <c r="A18" i="1"/>
  <c r="A186" i="1"/>
  <c r="A14" i="1"/>
  <c r="A68" i="1"/>
  <c r="A227" i="1"/>
  <c r="A60" i="1"/>
  <c r="A340" i="1"/>
  <c r="A164" i="1"/>
  <c r="A335" i="1"/>
  <c r="A12" i="1"/>
  <c r="A161" i="1"/>
  <c r="A169" i="1"/>
  <c r="A216" i="1"/>
  <c r="A40" i="1"/>
  <c r="A390" i="1"/>
  <c r="A263" i="1"/>
  <c r="A98" i="1"/>
  <c r="A95" i="1"/>
  <c r="A165" i="1"/>
  <c r="A36" i="1"/>
  <c r="A49" i="1"/>
  <c r="A374" i="1"/>
  <c r="A206" i="1"/>
  <c r="A358" i="1"/>
  <c r="A56" i="1"/>
  <c r="A368" i="1"/>
  <c r="A187" i="1"/>
  <c r="A360" i="1"/>
  <c r="A104" i="1"/>
  <c r="A37" i="1"/>
  <c r="A115" i="1"/>
  <c r="A61" i="1"/>
  <c r="A248" i="1"/>
  <c r="A372" i="1"/>
  <c r="A156" i="1"/>
  <c r="A25" i="1"/>
  <c r="A113" i="1"/>
  <c r="A92" i="1"/>
  <c r="A110" i="1"/>
  <c r="A367" i="1"/>
  <c r="A236" i="1"/>
  <c r="A76" i="1"/>
  <c r="A107" i="1"/>
  <c r="A353" i="1"/>
  <c r="A153" i="1"/>
  <c r="A44" i="1"/>
  <c r="A352" i="1"/>
  <c r="A176" i="1"/>
  <c r="A361" i="1"/>
  <c r="A41" i="1"/>
  <c r="A81" i="1"/>
  <c r="A316" i="1"/>
  <c r="A373" i="1"/>
  <c r="A286" i="1"/>
  <c r="A339" i="1"/>
  <c r="A306" i="1"/>
  <c r="A152" i="1"/>
  <c r="A375" i="1"/>
  <c r="A237" i="1"/>
  <c r="A45" i="1"/>
  <c r="A351" i="1"/>
  <c r="A128" i="1"/>
  <c r="A149" i="1"/>
  <c r="A77" i="1"/>
  <c r="A350" i="1"/>
  <c r="A172" i="1"/>
  <c r="A80" i="1"/>
  <c r="A338" i="1"/>
  <c r="A173" i="1"/>
  <c r="A119" i="1"/>
  <c r="A388" i="1"/>
  <c r="A19" i="1"/>
  <c r="A32" i="1"/>
  <c r="A13" i="1"/>
  <c r="I2" i="1"/>
  <c r="A2" i="1" s="1"/>
  <c r="A17" i="1" l="1"/>
  <c r="B107" i="3" s="1" a="1"/>
  <c r="B107" i="3" s="1"/>
  <c r="B5" i="6" s="1"/>
  <c r="B2" i="1"/>
  <c r="K109" i="3" l="1" a="1"/>
  <c r="K109" i="3" s="1"/>
  <c r="H7" i="6" s="1"/>
  <c r="L106" i="3" a="1"/>
  <c r="L106" i="3" s="1"/>
  <c r="R106" i="3" s="1"/>
  <c r="H113" i="3" a="1"/>
  <c r="H113" i="3" s="1"/>
  <c r="F11" i="6" s="1"/>
  <c r="F112" i="3" a="1"/>
  <c r="F112" i="3" s="1"/>
  <c r="E10" i="6" s="1"/>
  <c r="L119" i="3" a="1"/>
  <c r="L119" i="3" s="1"/>
  <c r="Q124" i="3" a="1"/>
  <c r="Q124" i="3" s="1"/>
  <c r="P22" i="6" s="1"/>
  <c r="D129" i="3" a="1"/>
  <c r="D129" i="3" s="1"/>
  <c r="C27" i="6" s="1"/>
  <c r="Q127" i="3" a="1"/>
  <c r="Q127" i="3" s="1"/>
  <c r="P25" i="6" s="1"/>
  <c r="E108" i="3" a="1"/>
  <c r="E108" i="3" s="1"/>
  <c r="D6" i="6" s="1"/>
  <c r="H120" i="3" a="1"/>
  <c r="H120" i="3" s="1"/>
  <c r="F18" i="6" s="1"/>
  <c r="E123" i="3" a="1"/>
  <c r="E123" i="3" s="1"/>
  <c r="D21" i="6" s="1"/>
  <c r="H129" i="3" a="1"/>
  <c r="H129" i="3" s="1"/>
  <c r="F27" i="6" s="1"/>
  <c r="M118" i="3" a="1"/>
  <c r="M118" i="3" s="1"/>
  <c r="Q113" i="3" a="1"/>
  <c r="Q113" i="3" s="1"/>
  <c r="P11" i="6" s="1"/>
  <c r="Q126" i="3" a="1"/>
  <c r="Q126" i="3" s="1"/>
  <c r="P24" i="6" s="1"/>
  <c r="Q119" i="3" a="1"/>
  <c r="Q119" i="3" s="1"/>
  <c r="P17" i="6" s="1"/>
  <c r="Q120" i="3" a="1"/>
  <c r="Q120" i="3" s="1"/>
  <c r="P18" i="6" s="1"/>
  <c r="N119" i="3" a="1"/>
  <c r="N119" i="3" s="1"/>
  <c r="M17" i="6" s="1"/>
  <c r="N125" i="3" a="1"/>
  <c r="N125" i="3" s="1"/>
  <c r="M23" i="6" s="1"/>
  <c r="Q110" i="3" a="1"/>
  <c r="Q110" i="3" s="1"/>
  <c r="P8" i="6" s="1"/>
  <c r="D127" i="3" a="1"/>
  <c r="D127" i="3" s="1"/>
  <c r="C25" i="6" s="1"/>
  <c r="Q123" i="3" a="1"/>
  <c r="Q123" i="3" s="1"/>
  <c r="P21" i="6" s="1"/>
  <c r="M120" i="3" a="1"/>
  <c r="M120" i="3" s="1"/>
  <c r="F108" i="3" a="1"/>
  <c r="F108" i="3" s="1"/>
  <c r="E6" i="6" s="1"/>
  <c r="J125" i="3" a="1"/>
  <c r="J125" i="3" s="1"/>
  <c r="G23" i="6" s="1"/>
  <c r="O112" i="3" a="1"/>
  <c r="O112" i="3" s="1"/>
  <c r="N10" i="6" s="1"/>
  <c r="Q109" i="3" a="1"/>
  <c r="Q109" i="3" s="1"/>
  <c r="P7" i="6" s="1"/>
  <c r="Q114" i="3" a="1"/>
  <c r="Q114" i="3" s="1"/>
  <c r="P12" i="6" s="1"/>
  <c r="Q115" i="3" a="1"/>
  <c r="Q115" i="3" s="1"/>
  <c r="P13" i="6" s="1"/>
  <c r="N106" i="3" a="1"/>
  <c r="N106" i="3" s="1"/>
  <c r="M4" i="6" s="1"/>
  <c r="Q122" i="3" a="1"/>
  <c r="Q122" i="3" s="1"/>
  <c r="P20" i="6" s="1"/>
  <c r="M108" i="3" a="1"/>
  <c r="M108" i="3" s="1"/>
  <c r="Q116" i="3" a="1"/>
  <c r="Q116" i="3" s="1"/>
  <c r="P14" i="6" s="1"/>
  <c r="K114" i="3" a="1"/>
  <c r="K114" i="3" s="1"/>
  <c r="H12" i="6" s="1"/>
  <c r="Q108" i="3" a="1"/>
  <c r="Q108" i="3" s="1"/>
  <c r="P6" i="6" s="1"/>
  <c r="O114" i="3" a="1"/>
  <c r="O114" i="3" s="1"/>
  <c r="N12" i="6" s="1"/>
  <c r="B116" i="3" a="1"/>
  <c r="B116" i="3" s="1"/>
  <c r="B14" i="6" s="1"/>
  <c r="E121" i="3" a="1"/>
  <c r="E121" i="3" s="1"/>
  <c r="D19" i="6" s="1"/>
  <c r="B123" i="3" a="1"/>
  <c r="B123" i="3" s="1"/>
  <c r="B21" i="6" s="1"/>
  <c r="Q118" i="3" a="1"/>
  <c r="Q118" i="3" s="1"/>
  <c r="P16" i="6" s="1"/>
  <c r="Q125" i="3" a="1"/>
  <c r="Q125" i="3" s="1"/>
  <c r="P23" i="6" s="1"/>
  <c r="Q111" i="3" a="1"/>
  <c r="Q111" i="3" s="1"/>
  <c r="P9" i="6" s="1"/>
  <c r="Q117" i="3" a="1"/>
  <c r="Q117" i="3" s="1"/>
  <c r="P15" i="6" s="1"/>
  <c r="O124" i="3" a="1"/>
  <c r="O124" i="3" s="1"/>
  <c r="N22" i="6" s="1"/>
  <c r="Q112" i="3" a="1"/>
  <c r="Q112" i="3" s="1"/>
  <c r="P10" i="6" s="1"/>
  <c r="B114" i="3" a="1"/>
  <c r="B114" i="3" s="1"/>
  <c r="B12" i="6" s="1"/>
  <c r="K115" i="3" a="1"/>
  <c r="K115" i="3" s="1"/>
  <c r="H13" i="6" s="1"/>
  <c r="Q121" i="3" a="1"/>
  <c r="Q121" i="3" s="1"/>
  <c r="P19" i="6" s="1"/>
  <c r="D109" i="3" a="1"/>
  <c r="D109" i="3" s="1"/>
  <c r="C7" i="6" s="1"/>
  <c r="D118" i="3" a="1"/>
  <c r="D118" i="3" s="1"/>
  <c r="C16" i="6" s="1"/>
  <c r="H115" i="3" a="1"/>
  <c r="H115" i="3" s="1"/>
  <c r="F13" i="6" s="1"/>
  <c r="E117" i="3" a="1"/>
  <c r="E117" i="3" s="1"/>
  <c r="D15" i="6" s="1"/>
  <c r="Q129" i="3" a="1"/>
  <c r="Q129" i="3" s="1"/>
  <c r="P27" i="6" s="1"/>
  <c r="Q128" i="3" a="1"/>
  <c r="Q128" i="3" s="1"/>
  <c r="P26" i="6" s="1"/>
  <c r="Q107" i="3" a="1"/>
  <c r="Q107" i="3" s="1"/>
  <c r="P5" i="6" s="1"/>
  <c r="M106" i="3" a="1"/>
  <c r="M106" i="3" s="1"/>
  <c r="K4" i="6" s="1"/>
  <c r="N128" i="3" a="1"/>
  <c r="N128" i="3" s="1"/>
  <c r="M26" i="6" s="1"/>
  <c r="J110" i="3" a="1"/>
  <c r="J110" i="3" s="1"/>
  <c r="G8" i="6" s="1"/>
  <c r="H124" i="3" a="1"/>
  <c r="H124" i="3" s="1"/>
  <c r="F22" i="6" s="1"/>
  <c r="K111" i="3" a="1"/>
  <c r="K111" i="3" s="1"/>
  <c r="H9" i="6" s="1"/>
  <c r="O128" i="3" a="1"/>
  <c r="O128" i="3" s="1"/>
  <c r="N26" i="6" s="1"/>
  <c r="N108" i="3" a="1"/>
  <c r="N108" i="3" s="1"/>
  <c r="M6" i="6" s="1"/>
  <c r="B118" i="3" a="1"/>
  <c r="B118" i="3" s="1"/>
  <c r="B16" i="6" s="1"/>
  <c r="P126" i="3" a="1"/>
  <c r="P126" i="3" s="1"/>
  <c r="O24" i="6" s="1"/>
  <c r="M128" i="3" a="1"/>
  <c r="M128" i="3" s="1"/>
  <c r="F119" i="3" a="1"/>
  <c r="F119" i="3" s="1"/>
  <c r="E17" i="6" s="1"/>
  <c r="F115" i="3" a="1"/>
  <c r="F115" i="3" s="1"/>
  <c r="E13" i="6" s="1"/>
  <c r="M126" i="3" a="1"/>
  <c r="M126" i="3" s="1"/>
  <c r="L116" i="3" a="1"/>
  <c r="L116" i="3" s="1"/>
  <c r="N110" i="3" a="1"/>
  <c r="N110" i="3" s="1"/>
  <c r="M8" i="6" s="1"/>
  <c r="N122" i="3" a="1"/>
  <c r="N122" i="3" s="1"/>
  <c r="M20" i="6" s="1"/>
  <c r="M125" i="3" a="1"/>
  <c r="M125" i="3" s="1"/>
  <c r="J128" i="3" a="1"/>
  <c r="J128" i="3" s="1"/>
  <c r="G26" i="6" s="1"/>
  <c r="H128" i="3" a="1"/>
  <c r="H128" i="3" s="1"/>
  <c r="F26" i="6" s="1"/>
  <c r="K124" i="3" a="1"/>
  <c r="K124" i="3" s="1"/>
  <c r="H22" i="6" s="1"/>
  <c r="M119" i="3" a="1"/>
  <c r="M119" i="3" s="1"/>
  <c r="O113" i="3" a="1"/>
  <c r="O113" i="3" s="1"/>
  <c r="N11" i="6" s="1"/>
  <c r="D108" i="3" a="1"/>
  <c r="D108" i="3" s="1"/>
  <c r="C6" i="6" s="1"/>
  <c r="H118" i="3" a="1"/>
  <c r="H118" i="3" s="1"/>
  <c r="F16" i="6" s="1"/>
  <c r="K112" i="3" a="1"/>
  <c r="K112" i="3" s="1"/>
  <c r="H10" i="6" s="1"/>
  <c r="D107" i="3" a="1"/>
  <c r="D107" i="3" s="1"/>
  <c r="C5" i="6" s="1"/>
  <c r="F117" i="3" a="1"/>
  <c r="F117" i="3" s="1"/>
  <c r="E15" i="6" s="1"/>
  <c r="J111" i="3" a="1"/>
  <c r="J111" i="3" s="1"/>
  <c r="G9" i="6" s="1"/>
  <c r="K121" i="3" a="1"/>
  <c r="K121" i="3" s="1"/>
  <c r="H19" i="6" s="1"/>
  <c r="M115" i="3" a="1"/>
  <c r="M115" i="3" s="1"/>
  <c r="P114" i="3" a="1"/>
  <c r="P114" i="3" s="1"/>
  <c r="O12" i="6" s="1"/>
  <c r="P129" i="3" a="1"/>
  <c r="P129" i="3" s="1"/>
  <c r="O27" i="6" s="1"/>
  <c r="P127" i="3" a="1"/>
  <c r="P127" i="3" s="1"/>
  <c r="O25" i="6" s="1"/>
  <c r="P108" i="3" a="1"/>
  <c r="P108" i="3" s="1"/>
  <c r="O6" i="6" s="1"/>
  <c r="N127" i="3" a="1"/>
  <c r="N127" i="3" s="1"/>
  <c r="M25" i="6" s="1"/>
  <c r="E114" i="3" a="1"/>
  <c r="E114" i="3" s="1"/>
  <c r="D12" i="6" s="1"/>
  <c r="B108" i="3" a="1"/>
  <c r="B108" i="3" s="1"/>
  <c r="B6" i="6" s="1"/>
  <c r="N113" i="3" a="1"/>
  <c r="N113" i="3" s="1"/>
  <c r="M11" i="6" s="1"/>
  <c r="L127" i="3" a="1"/>
  <c r="L127" i="3" s="1"/>
  <c r="J120" i="3" a="1"/>
  <c r="J120" i="3" s="1"/>
  <c r="G18" i="6" s="1"/>
  <c r="F113" i="3" a="1"/>
  <c r="F113" i="3" s="1"/>
  <c r="E11" i="6" s="1"/>
  <c r="F122" i="3" a="1"/>
  <c r="F122" i="3" s="1"/>
  <c r="E20" i="6" s="1"/>
  <c r="P110" i="3" a="1"/>
  <c r="P110" i="3" s="1"/>
  <c r="O8" i="6" s="1"/>
  <c r="M109" i="3" a="1"/>
  <c r="M109" i="3" s="1"/>
  <c r="L107" i="3" a="1"/>
  <c r="L107" i="3" s="1"/>
  <c r="D126" i="3" a="1"/>
  <c r="D126" i="3" s="1"/>
  <c r="C24" i="6" s="1"/>
  <c r="E106" i="3" a="1"/>
  <c r="E106" i="3" s="1"/>
  <c r="D4" i="6" s="1"/>
  <c r="L129" i="3" a="1"/>
  <c r="L129" i="3" s="1"/>
  <c r="M112" i="3" a="1"/>
  <c r="M112" i="3" s="1"/>
  <c r="D113" i="3" a="1"/>
  <c r="D113" i="3" s="1"/>
  <c r="C11" i="6" s="1"/>
  <c r="M124" i="3" a="1"/>
  <c r="M124" i="3" s="1"/>
  <c r="D110" i="3" a="1"/>
  <c r="D110" i="3" s="1"/>
  <c r="C8" i="6" s="1"/>
  <c r="K125" i="3" a="1"/>
  <c r="K125" i="3" s="1"/>
  <c r="H23" i="6" s="1"/>
  <c r="B119" i="3" a="1"/>
  <c r="B119" i="3" s="1"/>
  <c r="B17" i="6" s="1"/>
  <c r="E113" i="3" a="1"/>
  <c r="E113" i="3" s="1"/>
  <c r="D11" i="6" s="1"/>
  <c r="H107" i="3" a="1"/>
  <c r="H107" i="3" s="1"/>
  <c r="F5" i="6" s="1"/>
  <c r="L117" i="3" a="1"/>
  <c r="L117" i="3" s="1"/>
  <c r="N111" i="3" a="1"/>
  <c r="N111" i="3" s="1"/>
  <c r="M9" i="6" s="1"/>
  <c r="H122" i="3" a="1"/>
  <c r="H122" i="3" s="1"/>
  <c r="F20" i="6" s="1"/>
  <c r="K116" i="3" a="1"/>
  <c r="K116" i="3" s="1"/>
  <c r="H14" i="6" s="1"/>
  <c r="M110" i="3" a="1"/>
  <c r="M110" i="3" s="1"/>
  <c r="N120" i="3" a="1"/>
  <c r="N120" i="3" s="1"/>
  <c r="M18" i="6" s="1"/>
  <c r="B115" i="3" a="1"/>
  <c r="B115" i="3" s="1"/>
  <c r="B13" i="6" s="1"/>
  <c r="P125" i="3" a="1"/>
  <c r="P125" i="3" s="1"/>
  <c r="O23" i="6" s="1"/>
  <c r="P121" i="3" a="1"/>
  <c r="P121" i="3" s="1"/>
  <c r="O19" i="6" s="1"/>
  <c r="P123" i="3" a="1"/>
  <c r="P123" i="3" s="1"/>
  <c r="O21" i="6" s="1"/>
  <c r="O116" i="3" a="1"/>
  <c r="O116" i="3" s="1"/>
  <c r="N14" i="6" s="1"/>
  <c r="N115" i="3" a="1"/>
  <c r="N115" i="3" s="1"/>
  <c r="M13" i="6" s="1"/>
  <c r="F114" i="3" a="1"/>
  <c r="F114" i="3" s="1"/>
  <c r="E12" i="6" s="1"/>
  <c r="P113" i="3" a="1"/>
  <c r="P113" i="3" s="1"/>
  <c r="O11" i="6" s="1"/>
  <c r="H106" i="3" a="1"/>
  <c r="H106" i="3" s="1"/>
  <c r="F4" i="6" s="1"/>
  <c r="H126" i="3" a="1"/>
  <c r="H126" i="3" s="1"/>
  <c r="F24" i="6" s="1"/>
  <c r="N124" i="3" a="1"/>
  <c r="N124" i="3" s="1"/>
  <c r="M22" i="6" s="1"/>
  <c r="F125" i="3" a="1"/>
  <c r="F125" i="3" s="1"/>
  <c r="E23" i="6" s="1"/>
  <c r="O122" i="3" a="1"/>
  <c r="O122" i="3" s="1"/>
  <c r="N20" i="6" s="1"/>
  <c r="D117" i="3" a="1"/>
  <c r="D117" i="3" s="1"/>
  <c r="C15" i="6" s="1"/>
  <c r="F111" i="3" a="1"/>
  <c r="F111" i="3" s="1"/>
  <c r="E9" i="6" s="1"/>
  <c r="H123" i="3" a="1"/>
  <c r="H123" i="3" s="1"/>
  <c r="F21" i="6" s="1"/>
  <c r="F124" i="3" a="1"/>
  <c r="F124" i="3" s="1"/>
  <c r="E22" i="6" s="1"/>
  <c r="O110" i="3" a="1"/>
  <c r="O110" i="3" s="1"/>
  <c r="N8" i="6" s="1"/>
  <c r="K128" i="3" a="1"/>
  <c r="K128" i="3" s="1"/>
  <c r="H26" i="6" s="1"/>
  <c r="L124" i="3" a="1"/>
  <c r="L124" i="3" s="1"/>
  <c r="F116" i="3" a="1"/>
  <c r="F116" i="3" s="1"/>
  <c r="E14" i="6" s="1"/>
  <c r="M123" i="3" a="1"/>
  <c r="M123" i="3" s="1"/>
  <c r="M121" i="3" a="1"/>
  <c r="M121" i="3" s="1"/>
  <c r="J114" i="3" a="1"/>
  <c r="J114" i="3" s="1"/>
  <c r="G12" i="6" s="1"/>
  <c r="L108" i="3" a="1"/>
  <c r="L108" i="3" s="1"/>
  <c r="N114" i="3" a="1"/>
  <c r="N114" i="3" s="1"/>
  <c r="M12" i="6" s="1"/>
  <c r="N121" i="3" a="1"/>
  <c r="N121" i="3" s="1"/>
  <c r="M19" i="6" s="1"/>
  <c r="B121" i="3" a="1"/>
  <c r="B121" i="3" s="1"/>
  <c r="B19" i="6" s="1"/>
  <c r="O126" i="3" a="1"/>
  <c r="O126" i="3" s="1"/>
  <c r="N24" i="6" s="1"/>
  <c r="D123" i="3" a="1"/>
  <c r="D123" i="3" s="1"/>
  <c r="C21" i="6" s="1"/>
  <c r="K117" i="3" a="1"/>
  <c r="K117" i="3" s="1"/>
  <c r="H15" i="6" s="1"/>
  <c r="M111" i="3" a="1"/>
  <c r="M111" i="3" s="1"/>
  <c r="B122" i="3" a="1"/>
  <c r="B122" i="3" s="1"/>
  <c r="B20" i="6" s="1"/>
  <c r="E116" i="3" a="1"/>
  <c r="E116" i="3" s="1"/>
  <c r="D14" i="6" s="1"/>
  <c r="H110" i="3" a="1"/>
  <c r="H110" i="3" s="1"/>
  <c r="F8" i="6" s="1"/>
  <c r="O120" i="3" a="1"/>
  <c r="O120" i="3" s="1"/>
  <c r="N18" i="6" s="1"/>
  <c r="D115" i="3" a="1"/>
  <c r="D115" i="3" s="1"/>
  <c r="C13" i="6" s="1"/>
  <c r="F109" i="3" a="1"/>
  <c r="F109" i="3" s="1"/>
  <c r="E7" i="6" s="1"/>
  <c r="H119" i="3" a="1"/>
  <c r="H119" i="3" s="1"/>
  <c r="F17" i="6" s="1"/>
  <c r="K113" i="3" a="1"/>
  <c r="K113" i="3" s="1"/>
  <c r="H11" i="6" s="1"/>
  <c r="P109" i="3" a="1"/>
  <c r="P109" i="3" s="1"/>
  <c r="O7" i="6" s="1"/>
  <c r="P128" i="3" a="1"/>
  <c r="P128" i="3" s="1"/>
  <c r="O26" i="6" s="1"/>
  <c r="P115" i="3" a="1"/>
  <c r="P115" i="3" s="1"/>
  <c r="O13" i="6" s="1"/>
  <c r="P122" i="3" a="1"/>
  <c r="P122" i="3" s="1"/>
  <c r="O20" i="6" s="1"/>
  <c r="L112" i="3" a="1"/>
  <c r="L112" i="3" s="1"/>
  <c r="H108" i="3" a="1"/>
  <c r="H108" i="3" s="1"/>
  <c r="F6" i="6" s="1"/>
  <c r="K126" i="3" a="1"/>
  <c r="K126" i="3" s="1"/>
  <c r="H24" i="6" s="1"/>
  <c r="H117" i="3" a="1"/>
  <c r="H117" i="3" s="1"/>
  <c r="F15" i="6" s="1"/>
  <c r="H112" i="3" a="1"/>
  <c r="H112" i="3" s="1"/>
  <c r="F10" i="6" s="1"/>
  <c r="L114" i="3" a="1"/>
  <c r="L114" i="3" s="1"/>
  <c r="N107" i="3" a="1"/>
  <c r="N107" i="3" s="1"/>
  <c r="M5" i="6" s="1"/>
  <c r="J116" i="3" a="1"/>
  <c r="J116" i="3" s="1"/>
  <c r="G14" i="6" s="1"/>
  <c r="D106" i="3" a="1"/>
  <c r="D106" i="3" s="1"/>
  <c r="C4" i="6" s="1"/>
  <c r="H127" i="3" a="1"/>
  <c r="H127" i="3" s="1"/>
  <c r="F25" i="6" s="1"/>
  <c r="K107" i="3" a="1"/>
  <c r="K107" i="3" s="1"/>
  <c r="H5" i="6" s="1"/>
  <c r="F126" i="3" a="1"/>
  <c r="F126" i="3" s="1"/>
  <c r="E24" i="6" s="1"/>
  <c r="F128" i="3" a="1"/>
  <c r="F128" i="3" s="1"/>
  <c r="E26" i="6" s="1"/>
  <c r="O125" i="3" a="1"/>
  <c r="O125" i="3" s="1"/>
  <c r="N23" i="6" s="1"/>
  <c r="O123" i="3" a="1"/>
  <c r="O123" i="3" s="1"/>
  <c r="N21" i="6" s="1"/>
  <c r="J129" i="3" a="1"/>
  <c r="J129" i="3" s="1"/>
  <c r="G27" i="6" s="1"/>
  <c r="D122" i="3" a="1"/>
  <c r="D122" i="3" s="1"/>
  <c r="C20" i="6" s="1"/>
  <c r="O115" i="3" a="1"/>
  <c r="O115" i="3" s="1"/>
  <c r="N13" i="6" s="1"/>
  <c r="N123" i="3" a="1"/>
  <c r="N123" i="3" s="1"/>
  <c r="M21" i="6" s="1"/>
  <c r="B124" i="3" a="1"/>
  <c r="B124" i="3" s="1"/>
  <c r="B22" i="6" s="1"/>
  <c r="N126" i="3" a="1"/>
  <c r="N126" i="3" s="1"/>
  <c r="M24" i="6" s="1"/>
  <c r="E127" i="3" a="1"/>
  <c r="E127" i="3" s="1"/>
  <c r="D25" i="6" s="1"/>
  <c r="N117" i="3" a="1"/>
  <c r="N117" i="3" s="1"/>
  <c r="M15" i="6" s="1"/>
  <c r="E129" i="3" a="1"/>
  <c r="E129" i="3" s="1"/>
  <c r="D27" i="6" s="1"/>
  <c r="L111" i="3" a="1"/>
  <c r="L111" i="3" s="1"/>
  <c r="D125" i="3" a="1"/>
  <c r="D125" i="3" s="1"/>
  <c r="C23" i="6" s="1"/>
  <c r="K129" i="3" a="1"/>
  <c r="K129" i="3" s="1"/>
  <c r="H27" i="6" s="1"/>
  <c r="E115" i="3" a="1"/>
  <c r="E115" i="3" s="1"/>
  <c r="D13" i="6" s="1"/>
  <c r="M117" i="3" a="1"/>
  <c r="M117" i="3" s="1"/>
  <c r="J122" i="3" a="1"/>
  <c r="J122" i="3" s="1"/>
  <c r="G20" i="6" s="1"/>
  <c r="K123" i="3" a="1"/>
  <c r="K123" i="3" s="1"/>
  <c r="H21" i="6" s="1"/>
  <c r="J112" i="3" a="1"/>
  <c r="J112" i="3" s="1"/>
  <c r="G10" i="6" s="1"/>
  <c r="D111" i="3" a="1"/>
  <c r="D111" i="3" s="1"/>
  <c r="C9" i="6" s="1"/>
  <c r="B110" i="3" a="1"/>
  <c r="B110" i="3" s="1"/>
  <c r="B8" i="6" s="1"/>
  <c r="P117" i="3" a="1"/>
  <c r="P117" i="3" s="1"/>
  <c r="O15" i="6" s="1"/>
  <c r="P119" i="3" a="1"/>
  <c r="P119" i="3" s="1"/>
  <c r="O17" i="6" s="1"/>
  <c r="A396" i="1"/>
  <c r="D12" i="4" s="1"/>
  <c r="F12" i="4" s="1"/>
  <c r="J106" i="3" a="1"/>
  <c r="J106" i="3" s="1"/>
  <c r="G4" i="6" s="1"/>
  <c r="F127" i="3" a="1"/>
  <c r="F127" i="3" s="1"/>
  <c r="E25" i="6" s="1"/>
  <c r="H121" i="3" a="1"/>
  <c r="H121" i="3" s="1"/>
  <c r="F19" i="6" s="1"/>
  <c r="F123" i="3" a="1"/>
  <c r="F123" i="3" s="1"/>
  <c r="E21" i="6" s="1"/>
  <c r="E122" i="3" a="1"/>
  <c r="E122" i="3" s="1"/>
  <c r="D20" i="6" s="1"/>
  <c r="H116" i="3" a="1"/>
  <c r="H116" i="3" s="1"/>
  <c r="F14" i="6" s="1"/>
  <c r="K110" i="3" a="1"/>
  <c r="K110" i="3" s="1"/>
  <c r="H8" i="6" s="1"/>
  <c r="L120" i="3" a="1"/>
  <c r="L120" i="3" s="1"/>
  <c r="D128" i="3" a="1"/>
  <c r="D128" i="3" s="1"/>
  <c r="C26" i="6" s="1"/>
  <c r="E110" i="3" a="1"/>
  <c r="E110" i="3" s="1"/>
  <c r="D8" i="6" s="1"/>
  <c r="B128" i="3" a="1"/>
  <c r="B128" i="3" s="1"/>
  <c r="B26" i="6" s="1"/>
  <c r="E124" i="3" a="1"/>
  <c r="E124" i="3" s="1"/>
  <c r="D22" i="6" s="1"/>
  <c r="D114" i="3" a="1"/>
  <c r="D114" i="3" s="1"/>
  <c r="C12" i="6" s="1"/>
  <c r="D121" i="3" a="1"/>
  <c r="D121" i="3" s="1"/>
  <c r="C19" i="6" s="1"/>
  <c r="F120" i="3" a="1"/>
  <c r="F120" i="3" s="1"/>
  <c r="E18" i="6" s="1"/>
  <c r="M113" i="3" a="1"/>
  <c r="M113" i="3" s="1"/>
  <c r="O107" i="3" a="1"/>
  <c r="O107" i="3" s="1"/>
  <c r="N5" i="6" s="1"/>
  <c r="O111" i="3" a="1"/>
  <c r="O111" i="3" s="1"/>
  <c r="N9" i="6" s="1"/>
  <c r="O118" i="3" a="1"/>
  <c r="O118" i="3" s="1"/>
  <c r="N16" i="6" s="1"/>
  <c r="N118" i="3" a="1"/>
  <c r="N118" i="3" s="1"/>
  <c r="M16" i="6" s="1"/>
  <c r="J126" i="3" a="1"/>
  <c r="J126" i="3" s="1"/>
  <c r="G24" i="6" s="1"/>
  <c r="L122" i="3" a="1"/>
  <c r="L122" i="3" s="1"/>
  <c r="N116" i="3" a="1"/>
  <c r="N116" i="3" s="1"/>
  <c r="M14" i="6" s="1"/>
  <c r="B111" i="3" a="1"/>
  <c r="B111" i="3" s="1"/>
  <c r="B9" i="6" s="1"/>
  <c r="F121" i="3" a="1"/>
  <c r="F121" i="3" s="1"/>
  <c r="E19" i="6" s="1"/>
  <c r="J115" i="3" a="1"/>
  <c r="J115" i="3" s="1"/>
  <c r="G13" i="6" s="1"/>
  <c r="L109" i="3" a="1"/>
  <c r="L109" i="3" s="1"/>
  <c r="E120" i="3" a="1"/>
  <c r="E120" i="3" s="1"/>
  <c r="D18" i="6" s="1"/>
  <c r="H114" i="3" a="1"/>
  <c r="H114" i="3" s="1"/>
  <c r="F12" i="6" s="1"/>
  <c r="K108" i="3" a="1"/>
  <c r="K108" i="3" s="1"/>
  <c r="H6" i="6" s="1"/>
  <c r="L118" i="3" a="1"/>
  <c r="L118" i="3" s="1"/>
  <c r="N112" i="3" a="1"/>
  <c r="N112" i="3" s="1"/>
  <c r="M10" i="6" s="1"/>
  <c r="P124" i="3" a="1"/>
  <c r="P124" i="3" s="1"/>
  <c r="O22" i="6" s="1"/>
  <c r="P116" i="3" a="1"/>
  <c r="P116" i="3" s="1"/>
  <c r="O14" i="6" s="1"/>
  <c r="P111" i="3" a="1"/>
  <c r="P111" i="3" s="1"/>
  <c r="O9" i="6" s="1"/>
  <c r="O106" i="3" a="1"/>
  <c r="O106" i="3" s="1"/>
  <c r="N4" i="6" s="1"/>
  <c r="B120" i="3" a="1"/>
  <c r="B120" i="3" s="1"/>
  <c r="B18" i="6" s="1"/>
  <c r="J117" i="3" a="1"/>
  <c r="J117" i="3" s="1"/>
  <c r="G15" i="6" s="1"/>
  <c r="L128" i="3" a="1"/>
  <c r="L128" i="3" s="1"/>
  <c r="M127" i="3" a="1"/>
  <c r="M127" i="3" s="1"/>
  <c r="B125" i="3" a="1"/>
  <c r="B125" i="3" s="1"/>
  <c r="B23" i="6" s="1"/>
  <c r="D119" i="3" a="1"/>
  <c r="D119" i="3" s="1"/>
  <c r="C17" i="6" s="1"/>
  <c r="E112" i="3" a="1"/>
  <c r="E112" i="3" s="1"/>
  <c r="D10" i="6" s="1"/>
  <c r="P118" i="3" a="1"/>
  <c r="P118" i="3" s="1"/>
  <c r="O16" i="6" s="1"/>
  <c r="F129" i="3" a="1"/>
  <c r="F129" i="3" s="1"/>
  <c r="E27" i="6" s="1"/>
  <c r="J113" i="3" a="1"/>
  <c r="J113" i="3" s="1"/>
  <c r="G11" i="6" s="1"/>
  <c r="F107" i="3" a="1"/>
  <c r="F107" i="3" s="1"/>
  <c r="E5" i="6" s="1"/>
  <c r="O129" i="3" a="1"/>
  <c r="O129" i="3" s="1"/>
  <c r="N27" i="6" s="1"/>
  <c r="H125" i="3" a="1"/>
  <c r="H125" i="3" s="1"/>
  <c r="F23" i="6" s="1"/>
  <c r="K118" i="3" a="1"/>
  <c r="K118" i="3" s="1"/>
  <c r="H16" i="6" s="1"/>
  <c r="E128" i="3" a="1"/>
  <c r="E128" i="3" s="1"/>
  <c r="D26" i="6" s="1"/>
  <c r="L125" i="3" a="1"/>
  <c r="L125" i="3" s="1"/>
  <c r="B127" i="3" a="1"/>
  <c r="B127" i="3" s="1"/>
  <c r="B25" i="6" s="1"/>
  <c r="O119" i="3" a="1"/>
  <c r="O119" i="3" s="1"/>
  <c r="N17" i="6" s="1"/>
  <c r="O127" i="3" a="1"/>
  <c r="O127" i="3" s="1"/>
  <c r="N25" i="6" s="1"/>
  <c r="F106" i="3" a="1"/>
  <c r="F106" i="3" s="1"/>
  <c r="E4" i="6" s="1"/>
  <c r="J123" i="3" a="1"/>
  <c r="J123" i="3" s="1"/>
  <c r="G21" i="6" s="1"/>
  <c r="J124" i="3" a="1"/>
  <c r="J124" i="3" s="1"/>
  <c r="G22" i="6" s="1"/>
  <c r="B112" i="3" a="1"/>
  <c r="B112" i="3" s="1"/>
  <c r="B10" i="6" s="1"/>
  <c r="E126" i="3" a="1"/>
  <c r="E126" i="3" s="1"/>
  <c r="D24" i="6" s="1"/>
  <c r="B129" i="3" a="1"/>
  <c r="B129" i="3" s="1"/>
  <c r="B27" i="6" s="1"/>
  <c r="E119" i="3" a="1"/>
  <c r="E119" i="3" s="1"/>
  <c r="D17" i="6" s="1"/>
  <c r="D124" i="3" a="1"/>
  <c r="D124" i="3" s="1"/>
  <c r="C22" i="6" s="1"/>
  <c r="H109" i="3" a="1"/>
  <c r="H109" i="3" s="1"/>
  <c r="F7" i="6" s="1"/>
  <c r="E125" i="3" a="1"/>
  <c r="E125" i="3" s="1"/>
  <c r="D23" i="6" s="1"/>
  <c r="J127" i="3" a="1"/>
  <c r="J127" i="3" s="1"/>
  <c r="G25" i="6" s="1"/>
  <c r="F118" i="3" a="1"/>
  <c r="F118" i="3" s="1"/>
  <c r="E16" i="6" s="1"/>
  <c r="M122" i="3" a="1"/>
  <c r="M122" i="3" s="1"/>
  <c r="L121" i="3" a="1"/>
  <c r="L121" i="3" s="1"/>
  <c r="D120" i="3" a="1"/>
  <c r="D120" i="3" s="1"/>
  <c r="C18" i="6" s="1"/>
  <c r="B106" i="3" a="1"/>
  <c r="B106" i="3" s="1"/>
  <c r="B4" i="6" s="1"/>
  <c r="K106" i="3" a="1"/>
  <c r="K106" i="3" s="1"/>
  <c r="H4" i="6" s="1"/>
  <c r="M129" i="3" a="1"/>
  <c r="M129" i="3" s="1"/>
  <c r="J118" i="3" a="1"/>
  <c r="J118" i="3" s="1"/>
  <c r="G16" i="6" s="1"/>
  <c r="L126" i="3" a="1"/>
  <c r="L126" i="3" s="1"/>
  <c r="J121" i="3" a="1"/>
  <c r="J121" i="3" s="1"/>
  <c r="G19" i="6" s="1"/>
  <c r="L115" i="3" a="1"/>
  <c r="L115" i="3" s="1"/>
  <c r="N109" i="3" a="1"/>
  <c r="N109" i="3" s="1"/>
  <c r="M7" i="6" s="1"/>
  <c r="B117" i="3" a="1"/>
  <c r="B117" i="3" s="1"/>
  <c r="B15" i="6" s="1"/>
  <c r="K122" i="3" a="1"/>
  <c r="K122" i="3" s="1"/>
  <c r="H20" i="6" s="1"/>
  <c r="J109" i="3" a="1"/>
  <c r="J109" i="3" s="1"/>
  <c r="G7" i="6" s="1"/>
  <c r="K127" i="3" a="1"/>
  <c r="K127" i="3" s="1"/>
  <c r="H25" i="6" s="1"/>
  <c r="L123" i="3" a="1"/>
  <c r="L123" i="3" s="1"/>
  <c r="E111" i="3" a="1"/>
  <c r="E111" i="3" s="1"/>
  <c r="D9" i="6" s="1"/>
  <c r="E118" i="3" a="1"/>
  <c r="E118" i="3" s="1"/>
  <c r="D16" i="6" s="1"/>
  <c r="K119" i="3" a="1"/>
  <c r="K119" i="3" s="1"/>
  <c r="H17" i="6" s="1"/>
  <c r="B113" i="3" a="1"/>
  <c r="B113" i="3" s="1"/>
  <c r="B11" i="6" s="1"/>
  <c r="E107" i="3" a="1"/>
  <c r="E107" i="3" s="1"/>
  <c r="D5" i="6" s="1"/>
  <c r="B109" i="3" a="1"/>
  <c r="B109" i="3" s="1"/>
  <c r="B7" i="6" s="1"/>
  <c r="M116" i="3" a="1"/>
  <c r="M116" i="3" s="1"/>
  <c r="N129" i="3" a="1"/>
  <c r="N129" i="3" s="1"/>
  <c r="M27" i="6" s="1"/>
  <c r="B126" i="3" a="1"/>
  <c r="B126" i="3" s="1"/>
  <c r="B24" i="6" s="1"/>
  <c r="O121" i="3" a="1"/>
  <c r="O121" i="3" s="1"/>
  <c r="N19" i="6" s="1"/>
  <c r="D116" i="3" a="1"/>
  <c r="D116" i="3" s="1"/>
  <c r="C14" i="6" s="1"/>
  <c r="F110" i="3" a="1"/>
  <c r="F110" i="3" s="1"/>
  <c r="E8" i="6" s="1"/>
  <c r="K120" i="3" a="1"/>
  <c r="K120" i="3" s="1"/>
  <c r="H18" i="6" s="1"/>
  <c r="M114" i="3" a="1"/>
  <c r="M114" i="3" s="1"/>
  <c r="O108" i="3" a="1"/>
  <c r="O108" i="3" s="1"/>
  <c r="N6" i="6" s="1"/>
  <c r="J119" i="3" a="1"/>
  <c r="J119" i="3" s="1"/>
  <c r="G17" i="6" s="1"/>
  <c r="L113" i="3" a="1"/>
  <c r="L113" i="3" s="1"/>
  <c r="J107" i="3" a="1"/>
  <c r="J107" i="3" s="1"/>
  <c r="G5" i="6" s="1"/>
  <c r="O117" i="3" a="1"/>
  <c r="O117" i="3" s="1"/>
  <c r="N15" i="6" s="1"/>
  <c r="D112" i="3" a="1"/>
  <c r="D112" i="3" s="1"/>
  <c r="C10" i="6" s="1"/>
  <c r="P120" i="3" a="1"/>
  <c r="P120" i="3" s="1"/>
  <c r="O18" i="6" s="1"/>
  <c r="P112" i="3" a="1"/>
  <c r="P112" i="3" s="1"/>
  <c r="O10" i="6" s="1"/>
  <c r="P107" i="3" a="1"/>
  <c r="P107" i="3" s="1"/>
  <c r="O5" i="6" s="1"/>
  <c r="H111" i="3" a="1"/>
  <c r="H111" i="3" s="1"/>
  <c r="F9" i="6" s="1"/>
  <c r="Q106" i="3" a="1"/>
  <c r="Q106" i="3" s="1"/>
  <c r="P4" i="6" s="1"/>
  <c r="P106" i="3" a="1"/>
  <c r="P106" i="3" s="1"/>
  <c r="O4" i="6" s="1"/>
  <c r="O109" i="3" a="1"/>
  <c r="O109" i="3" s="1"/>
  <c r="N7" i="6" s="1"/>
  <c r="Q65" i="3" a="1"/>
  <c r="Q65" i="3" s="1"/>
  <c r="P5" i="5" s="1"/>
  <c r="Q69" i="3" a="1"/>
  <c r="Q69" i="3" s="1"/>
  <c r="P9" i="5" s="1"/>
  <c r="Q73" i="3" a="1"/>
  <c r="Q73" i="3" s="1"/>
  <c r="P13" i="5" s="1"/>
  <c r="Q77" i="3" a="1"/>
  <c r="Q77" i="3" s="1"/>
  <c r="P17" i="5" s="1"/>
  <c r="Q81" i="3" a="1"/>
  <c r="Q81" i="3" s="1"/>
  <c r="P21" i="5" s="1"/>
  <c r="Q85" i="3" a="1"/>
  <c r="Q85" i="3" s="1"/>
  <c r="P25" i="5" s="1"/>
  <c r="Q89" i="3" a="1"/>
  <c r="Q89" i="3" s="1"/>
  <c r="P29" i="5" s="1"/>
  <c r="Q93" i="3" a="1"/>
  <c r="Q93" i="3" s="1"/>
  <c r="P33" i="5" s="1"/>
  <c r="Q97" i="3" a="1"/>
  <c r="Q97" i="3" s="1"/>
  <c r="P37" i="5" s="1"/>
  <c r="Q101" i="3" a="1"/>
  <c r="Q101" i="3" s="1"/>
  <c r="P41" i="5" s="1"/>
  <c r="Q68" i="3" a="1"/>
  <c r="Q68" i="3" s="1"/>
  <c r="P8" i="5" s="1"/>
  <c r="Q80" i="3" a="1"/>
  <c r="Q80" i="3" s="1"/>
  <c r="P20" i="5" s="1"/>
  <c r="Q92" i="3" a="1"/>
  <c r="Q92" i="3" s="1"/>
  <c r="P32" i="5" s="1"/>
  <c r="Q70" i="3" a="1"/>
  <c r="Q70" i="3" s="1"/>
  <c r="P10" i="5" s="1"/>
  <c r="Q74" i="3" a="1"/>
  <c r="Q74" i="3" s="1"/>
  <c r="P14" i="5" s="1"/>
  <c r="Q82" i="3" a="1"/>
  <c r="Q82" i="3" s="1"/>
  <c r="P22" i="5" s="1"/>
  <c r="Q90" i="3" a="1"/>
  <c r="Q90" i="3" s="1"/>
  <c r="P30" i="5" s="1"/>
  <c r="Q98" i="3" a="1"/>
  <c r="Q98" i="3" s="1"/>
  <c r="P38" i="5" s="1"/>
  <c r="Q67" i="3" a="1"/>
  <c r="Q67" i="3" s="1"/>
  <c r="P7" i="5" s="1"/>
  <c r="Q75" i="3" a="1"/>
  <c r="Q75" i="3" s="1"/>
  <c r="P15" i="5" s="1"/>
  <c r="Q83" i="3" a="1"/>
  <c r="Q83" i="3" s="1"/>
  <c r="P23" i="5" s="1"/>
  <c r="Q91" i="3" a="1"/>
  <c r="Q91" i="3" s="1"/>
  <c r="P31" i="5" s="1"/>
  <c r="Q99" i="3" a="1"/>
  <c r="Q99" i="3" s="1"/>
  <c r="P39" i="5" s="1"/>
  <c r="Q72" i="3" a="1"/>
  <c r="Q72" i="3" s="1"/>
  <c r="P12" i="5" s="1"/>
  <c r="Q84" i="3" a="1"/>
  <c r="Q84" i="3" s="1"/>
  <c r="P24" i="5" s="1"/>
  <c r="Q96" i="3" a="1"/>
  <c r="Q96" i="3" s="1"/>
  <c r="P36" i="5" s="1"/>
  <c r="Q66" i="3" a="1"/>
  <c r="Q66" i="3" s="1"/>
  <c r="P6" i="5" s="1"/>
  <c r="Q78" i="3" a="1"/>
  <c r="Q78" i="3" s="1"/>
  <c r="P18" i="5" s="1"/>
  <c r="Q86" i="3" a="1"/>
  <c r="Q86" i="3" s="1"/>
  <c r="P26" i="5" s="1"/>
  <c r="Q94" i="3" a="1"/>
  <c r="Q94" i="3" s="1"/>
  <c r="P34" i="5" s="1"/>
  <c r="Q102" i="3" a="1"/>
  <c r="Q102" i="3" s="1"/>
  <c r="P42" i="5" s="1"/>
  <c r="Q71" i="3" a="1"/>
  <c r="Q71" i="3" s="1"/>
  <c r="P11" i="5" s="1"/>
  <c r="Q79" i="3" a="1"/>
  <c r="Q79" i="3" s="1"/>
  <c r="P19" i="5" s="1"/>
  <c r="Q87" i="3" a="1"/>
  <c r="Q87" i="3" s="1"/>
  <c r="P27" i="5" s="1"/>
  <c r="Q95" i="3" a="1"/>
  <c r="Q95" i="3" s="1"/>
  <c r="P35" i="5" s="1"/>
  <c r="Q103" i="3" a="1"/>
  <c r="Q103" i="3" s="1"/>
  <c r="P43" i="5" s="1"/>
  <c r="Q76" i="3" a="1"/>
  <c r="Q76" i="3" s="1"/>
  <c r="P16" i="5" s="1"/>
  <c r="Q88" i="3" a="1"/>
  <c r="Q88" i="3" s="1"/>
  <c r="P28" i="5" s="1"/>
  <c r="Q100" i="3" a="1"/>
  <c r="Q100" i="3" s="1"/>
  <c r="P40" i="5" s="1"/>
  <c r="Q64" i="3" a="1"/>
  <c r="Q64" i="3" s="1"/>
  <c r="P4" i="5" s="1"/>
  <c r="P65" i="3" a="1"/>
  <c r="P65" i="3" s="1"/>
  <c r="O5" i="5" s="1"/>
  <c r="P69" i="3" a="1"/>
  <c r="P69" i="3" s="1"/>
  <c r="O9" i="5" s="1"/>
  <c r="P73" i="3" a="1"/>
  <c r="P73" i="3" s="1"/>
  <c r="O13" i="5" s="1"/>
  <c r="P77" i="3" a="1"/>
  <c r="P77" i="3" s="1"/>
  <c r="O17" i="5" s="1"/>
  <c r="P81" i="3" a="1"/>
  <c r="P81" i="3" s="1"/>
  <c r="O21" i="5" s="1"/>
  <c r="P85" i="3" a="1"/>
  <c r="P85" i="3" s="1"/>
  <c r="O25" i="5" s="1"/>
  <c r="P89" i="3" a="1"/>
  <c r="P89" i="3" s="1"/>
  <c r="O29" i="5" s="1"/>
  <c r="P93" i="3" a="1"/>
  <c r="P93" i="3" s="1"/>
  <c r="O33" i="5" s="1"/>
  <c r="P97" i="3" a="1"/>
  <c r="P97" i="3" s="1"/>
  <c r="O37" i="5" s="1"/>
  <c r="P101" i="3" a="1"/>
  <c r="P101" i="3" s="1"/>
  <c r="O41" i="5" s="1"/>
  <c r="P68" i="3" a="1"/>
  <c r="P68" i="3" s="1"/>
  <c r="O8" i="5" s="1"/>
  <c r="P80" i="3" a="1"/>
  <c r="P80" i="3" s="1"/>
  <c r="O20" i="5" s="1"/>
  <c r="P92" i="3" a="1"/>
  <c r="P92" i="3" s="1"/>
  <c r="O32" i="5" s="1"/>
  <c r="P70" i="3" a="1"/>
  <c r="P70" i="3" s="1"/>
  <c r="O10" i="5" s="1"/>
  <c r="P74" i="3" a="1"/>
  <c r="P74" i="3" s="1"/>
  <c r="O14" i="5" s="1"/>
  <c r="P82" i="3" a="1"/>
  <c r="P82" i="3" s="1"/>
  <c r="O22" i="5" s="1"/>
  <c r="P90" i="3" a="1"/>
  <c r="P90" i="3" s="1"/>
  <c r="O30" i="5" s="1"/>
  <c r="P102" i="3" a="1"/>
  <c r="P102" i="3" s="1"/>
  <c r="O42" i="5" s="1"/>
  <c r="P71" i="3" a="1"/>
  <c r="P71" i="3" s="1"/>
  <c r="O11" i="5" s="1"/>
  <c r="P75" i="3" a="1"/>
  <c r="P75" i="3" s="1"/>
  <c r="O15" i="5" s="1"/>
  <c r="P83" i="3" a="1"/>
  <c r="P83" i="3" s="1"/>
  <c r="O23" i="5" s="1"/>
  <c r="P91" i="3" a="1"/>
  <c r="P91" i="3" s="1"/>
  <c r="O31" i="5" s="1"/>
  <c r="P99" i="3" a="1"/>
  <c r="P99" i="3" s="1"/>
  <c r="O39" i="5" s="1"/>
  <c r="P76" i="3" a="1"/>
  <c r="P76" i="3" s="1"/>
  <c r="O16" i="5" s="1"/>
  <c r="P88" i="3" a="1"/>
  <c r="P88" i="3" s="1"/>
  <c r="O28" i="5" s="1"/>
  <c r="P100" i="3" a="1"/>
  <c r="P100" i="3" s="1"/>
  <c r="O40" i="5" s="1"/>
  <c r="P66" i="3" a="1"/>
  <c r="P66" i="3" s="1"/>
  <c r="O6" i="5" s="1"/>
  <c r="P78" i="3" a="1"/>
  <c r="P78" i="3" s="1"/>
  <c r="O18" i="5" s="1"/>
  <c r="P86" i="3" a="1"/>
  <c r="P86" i="3" s="1"/>
  <c r="O26" i="5" s="1"/>
  <c r="P94" i="3" a="1"/>
  <c r="P94" i="3" s="1"/>
  <c r="O34" i="5" s="1"/>
  <c r="P98" i="3" a="1"/>
  <c r="P98" i="3" s="1"/>
  <c r="O38" i="5" s="1"/>
  <c r="P67" i="3" a="1"/>
  <c r="P67" i="3" s="1"/>
  <c r="O7" i="5" s="1"/>
  <c r="P79" i="3" a="1"/>
  <c r="P79" i="3" s="1"/>
  <c r="O19" i="5" s="1"/>
  <c r="P87" i="3" a="1"/>
  <c r="P87" i="3" s="1"/>
  <c r="O27" i="5" s="1"/>
  <c r="P95" i="3" a="1"/>
  <c r="P95" i="3" s="1"/>
  <c r="O35" i="5" s="1"/>
  <c r="P103" i="3" a="1"/>
  <c r="P103" i="3" s="1"/>
  <c r="O43" i="5" s="1"/>
  <c r="P72" i="3" a="1"/>
  <c r="P72" i="3" s="1"/>
  <c r="O12" i="5" s="1"/>
  <c r="P84" i="3" a="1"/>
  <c r="P84" i="3" s="1"/>
  <c r="O24" i="5" s="1"/>
  <c r="P96" i="3" a="1"/>
  <c r="P96" i="3" s="1"/>
  <c r="O36" i="5" s="1"/>
  <c r="L110" i="3" a="1"/>
  <c r="L110" i="3" s="1"/>
  <c r="E109" i="3" a="1"/>
  <c r="E109" i="3" s="1"/>
  <c r="D7" i="6" s="1"/>
  <c r="J108" i="3" a="1"/>
  <c r="J108" i="3" s="1"/>
  <c r="G6" i="6" s="1"/>
  <c r="M107" i="3" a="1"/>
  <c r="M107" i="3" s="1"/>
  <c r="O64" i="3" a="1"/>
  <c r="O64" i="3" s="1"/>
  <c r="N4" i="5" s="1"/>
  <c r="P64" i="3" a="1"/>
  <c r="P64" i="3" s="1"/>
  <c r="O4" i="5" s="1"/>
  <c r="N64" i="3" a="1"/>
  <c r="N64" i="3" s="1"/>
  <c r="M4" i="5" s="1"/>
  <c r="F64" i="3" a="1"/>
  <c r="F64" i="3" s="1"/>
  <c r="E4" i="5" s="1"/>
  <c r="M64" i="3" a="1"/>
  <c r="M64" i="3" s="1"/>
  <c r="K4" i="5" s="1"/>
  <c r="E65" i="3" a="1"/>
  <c r="E65" i="3" s="1"/>
  <c r="D5" i="5" s="1"/>
  <c r="B66" i="3" a="1"/>
  <c r="B66" i="3" s="1"/>
  <c r="B6" i="5" s="1"/>
  <c r="N66" i="3" a="1"/>
  <c r="N66" i="3" s="1"/>
  <c r="M6" i="5" s="1"/>
  <c r="L67" i="3" a="1"/>
  <c r="L67" i="3" s="1"/>
  <c r="J7" i="5" s="1"/>
  <c r="D68" i="3" a="1"/>
  <c r="D68" i="3" s="1"/>
  <c r="C8" i="5" s="1"/>
  <c r="O68" i="3" a="1"/>
  <c r="O68" i="3" s="1"/>
  <c r="N8" i="5" s="1"/>
  <c r="M69" i="3" a="1"/>
  <c r="M69" i="3" s="1"/>
  <c r="K9" i="5" s="1"/>
  <c r="K70" i="3" a="1"/>
  <c r="K70" i="3" s="1"/>
  <c r="H10" i="5" s="1"/>
  <c r="B71" i="3" a="1"/>
  <c r="B71" i="3" s="1"/>
  <c r="B11" i="5" s="1"/>
  <c r="N71" i="3" a="1"/>
  <c r="N71" i="3" s="1"/>
  <c r="M11" i="5" s="1"/>
  <c r="L72" i="3" a="1"/>
  <c r="L72" i="3" s="1"/>
  <c r="J12" i="5" s="1"/>
  <c r="J73" i="3" a="1"/>
  <c r="J73" i="3" s="1"/>
  <c r="G13" i="5" s="1"/>
  <c r="O73" i="3" a="1"/>
  <c r="O73" i="3" s="1"/>
  <c r="N13" i="5" s="1"/>
  <c r="M74" i="3" a="1"/>
  <c r="M74" i="3" s="1"/>
  <c r="K14" i="5" s="1"/>
  <c r="K75" i="3" a="1"/>
  <c r="K75" i="3" s="1"/>
  <c r="H15" i="5" s="1"/>
  <c r="H76" i="3" a="1"/>
  <c r="H76" i="3" s="1"/>
  <c r="F16" i="5" s="1"/>
  <c r="N76" i="3" a="1"/>
  <c r="N76" i="3" s="1"/>
  <c r="M16" i="5" s="1"/>
  <c r="L77" i="3" a="1"/>
  <c r="L77" i="3" s="1"/>
  <c r="J17" i="5" s="1"/>
  <c r="J78" i="3" a="1"/>
  <c r="J78" i="3" s="1"/>
  <c r="G18" i="5" s="1"/>
  <c r="F79" i="3" a="1"/>
  <c r="F79" i="3" s="1"/>
  <c r="E19" i="5" s="1"/>
  <c r="M79" i="3" a="1"/>
  <c r="M79" i="3" s="1"/>
  <c r="K19" i="5" s="1"/>
  <c r="K80" i="3" a="1"/>
  <c r="K80" i="3" s="1"/>
  <c r="H20" i="5" s="1"/>
  <c r="H81" i="3" a="1"/>
  <c r="H81" i="3" s="1"/>
  <c r="F21" i="5" s="1"/>
  <c r="E82" i="3" a="1"/>
  <c r="E82" i="3" s="1"/>
  <c r="D22" i="5" s="1"/>
  <c r="L82" i="3" a="1"/>
  <c r="L82" i="3" s="1"/>
  <c r="J22" i="5" s="1"/>
  <c r="J83" i="3" a="1"/>
  <c r="J83" i="3" s="1"/>
  <c r="G23" i="5" s="1"/>
  <c r="F84" i="3" a="1"/>
  <c r="F84" i="3" s="1"/>
  <c r="E24" i="5" s="1"/>
  <c r="D85" i="3" a="1"/>
  <c r="D85" i="3" s="1"/>
  <c r="C25" i="5" s="1"/>
  <c r="K85" i="3" a="1"/>
  <c r="K85" i="3" s="1"/>
  <c r="H25" i="5" s="1"/>
  <c r="H86" i="3" a="1"/>
  <c r="H86" i="3" s="1"/>
  <c r="F26" i="5" s="1"/>
  <c r="E87" i="3" a="1"/>
  <c r="E87" i="3" s="1"/>
  <c r="D27" i="5" s="1"/>
  <c r="B88" i="3" a="1"/>
  <c r="B88" i="3" s="1"/>
  <c r="B28" i="5" s="1"/>
  <c r="J88" i="3" a="1"/>
  <c r="J88" i="3" s="1"/>
  <c r="G28" i="5" s="1"/>
  <c r="F89" i="3" a="1"/>
  <c r="F89" i="3" s="1"/>
  <c r="E29" i="5" s="1"/>
  <c r="D90" i="3" a="1"/>
  <c r="D90" i="3" s="1"/>
  <c r="C30" i="5" s="1"/>
  <c r="O90" i="3" a="1"/>
  <c r="O90" i="3" s="1"/>
  <c r="N30" i="5" s="1"/>
  <c r="H91" i="3" a="1"/>
  <c r="H91" i="3" s="1"/>
  <c r="F31" i="5" s="1"/>
  <c r="H64" i="3" a="1"/>
  <c r="H64" i="3" s="1"/>
  <c r="F4" i="5" s="1"/>
  <c r="L65" i="3" a="1"/>
  <c r="L65" i="3" s="1"/>
  <c r="J5" i="5" s="1"/>
  <c r="J66" i="3" a="1"/>
  <c r="J66" i="3" s="1"/>
  <c r="G6" i="5" s="1"/>
  <c r="F67" i="3" a="1"/>
  <c r="F67" i="3" s="1"/>
  <c r="E7" i="5" s="1"/>
  <c r="M67" i="3" a="1"/>
  <c r="M67" i="3" s="1"/>
  <c r="K7" i="5" s="1"/>
  <c r="K68" i="3" a="1"/>
  <c r="K68" i="3" s="1"/>
  <c r="H8" i="5" s="1"/>
  <c r="H69" i="3" a="1"/>
  <c r="H69" i="3" s="1"/>
  <c r="F9" i="5" s="1"/>
  <c r="E70" i="3" a="1"/>
  <c r="E70" i="3" s="1"/>
  <c r="D10" i="5" s="1"/>
  <c r="L70" i="3" a="1"/>
  <c r="L70" i="3" s="1"/>
  <c r="J10" i="5" s="1"/>
  <c r="J71" i="3" a="1"/>
  <c r="J71" i="3" s="1"/>
  <c r="G11" i="5" s="1"/>
  <c r="F72" i="3" a="1"/>
  <c r="F72" i="3" s="1"/>
  <c r="E12" i="5" s="1"/>
  <c r="D73" i="3" a="1"/>
  <c r="D73" i="3" s="1"/>
  <c r="C13" i="5" s="1"/>
  <c r="K73" i="3" a="1"/>
  <c r="K73" i="3" s="1"/>
  <c r="H13" i="5" s="1"/>
  <c r="H74" i="3" a="1"/>
  <c r="H74" i="3" s="1"/>
  <c r="F14" i="5" s="1"/>
  <c r="E75" i="3" a="1"/>
  <c r="E75" i="3" s="1"/>
  <c r="D15" i="5" s="1"/>
  <c r="B76" i="3" a="1"/>
  <c r="B76" i="3" s="1"/>
  <c r="B16" i="5" s="1"/>
  <c r="J76" i="3" a="1"/>
  <c r="J76" i="3" s="1"/>
  <c r="G16" i="5" s="1"/>
  <c r="F77" i="3" a="1"/>
  <c r="F77" i="3" s="1"/>
  <c r="E17" i="5" s="1"/>
  <c r="D78" i="3" a="1"/>
  <c r="D78" i="3" s="1"/>
  <c r="C18" i="5" s="1"/>
  <c r="O78" i="3" a="1"/>
  <c r="O78" i="3" s="1"/>
  <c r="N18" i="5" s="1"/>
  <c r="H79" i="3" a="1"/>
  <c r="H79" i="3" s="1"/>
  <c r="F19" i="5" s="1"/>
  <c r="E80" i="3" a="1"/>
  <c r="E80" i="3" s="1"/>
  <c r="D20" i="5" s="1"/>
  <c r="B81" i="3" a="1"/>
  <c r="B81" i="3" s="1"/>
  <c r="B21" i="5" s="1"/>
  <c r="N81" i="3" a="1"/>
  <c r="N81" i="3" s="1"/>
  <c r="M21" i="5" s="1"/>
  <c r="F82" i="3" a="1"/>
  <c r="F82" i="3" s="1"/>
  <c r="E22" i="5" s="1"/>
  <c r="D83" i="3" a="1"/>
  <c r="D83" i="3" s="1"/>
  <c r="C23" i="5" s="1"/>
  <c r="O83" i="3" a="1"/>
  <c r="O83" i="3" s="1"/>
  <c r="N23" i="5" s="1"/>
  <c r="M84" i="3" a="1"/>
  <c r="M84" i="3" s="1"/>
  <c r="K24" i="5" s="1"/>
  <c r="E85" i="3" a="1"/>
  <c r="E85" i="3" s="1"/>
  <c r="D25" i="5" s="1"/>
  <c r="B86" i="3" a="1"/>
  <c r="B86" i="3" s="1"/>
  <c r="B26" i="5" s="1"/>
  <c r="N86" i="3" a="1"/>
  <c r="N86" i="3" s="1"/>
  <c r="M26" i="5" s="1"/>
  <c r="L87" i="3" a="1"/>
  <c r="L87" i="3" s="1"/>
  <c r="J27" i="5" s="1"/>
  <c r="D88" i="3" a="1"/>
  <c r="D88" i="3" s="1"/>
  <c r="C28" i="5" s="1"/>
  <c r="O88" i="3" a="1"/>
  <c r="O88" i="3" s="1"/>
  <c r="N28" i="5" s="1"/>
  <c r="M89" i="3" a="1"/>
  <c r="M89" i="3" s="1"/>
  <c r="K29" i="5" s="1"/>
  <c r="K90" i="3" a="1"/>
  <c r="K90" i="3" s="1"/>
  <c r="H30" i="5" s="1"/>
  <c r="B91" i="3" a="1"/>
  <c r="B91" i="3" s="1"/>
  <c r="B31" i="5" s="1"/>
  <c r="N91" i="3" a="1"/>
  <c r="N91" i="3" s="1"/>
  <c r="M31" i="5" s="1"/>
  <c r="L92" i="3" a="1"/>
  <c r="L92" i="3" s="1"/>
  <c r="J32" i="5" s="1"/>
  <c r="J93" i="3" a="1"/>
  <c r="J93" i="3" s="1"/>
  <c r="G33" i="5" s="1"/>
  <c r="O93" i="3" a="1"/>
  <c r="O93" i="3" s="1"/>
  <c r="N33" i="5" s="1"/>
  <c r="J64" i="3" a="1"/>
  <c r="J64" i="3" s="1"/>
  <c r="G4" i="5" s="1"/>
  <c r="F65" i="3" a="1"/>
  <c r="F65" i="3" s="1"/>
  <c r="E5" i="5" s="1"/>
  <c r="D66" i="3" a="1"/>
  <c r="D66" i="3" s="1"/>
  <c r="C6" i="5" s="1"/>
  <c r="O66" i="3" a="1"/>
  <c r="O66" i="3" s="1"/>
  <c r="N6" i="5" s="1"/>
  <c r="H67" i="3" a="1"/>
  <c r="H67" i="3" s="1"/>
  <c r="F7" i="5" s="1"/>
  <c r="E68" i="3" a="1"/>
  <c r="E68" i="3" s="1"/>
  <c r="D8" i="5" s="1"/>
  <c r="B69" i="3" a="1"/>
  <c r="B69" i="3" s="1"/>
  <c r="B9" i="5" s="1"/>
  <c r="N69" i="3" a="1"/>
  <c r="N69" i="3" s="1"/>
  <c r="M9" i="5" s="1"/>
  <c r="F70" i="3" a="1"/>
  <c r="F70" i="3" s="1"/>
  <c r="E10" i="5" s="1"/>
  <c r="D71" i="3" a="1"/>
  <c r="D71" i="3" s="1"/>
  <c r="C11" i="5" s="1"/>
  <c r="O71" i="3" a="1"/>
  <c r="O71" i="3" s="1"/>
  <c r="N11" i="5" s="1"/>
  <c r="M72" i="3" a="1"/>
  <c r="M72" i="3" s="1"/>
  <c r="K12" i="5" s="1"/>
  <c r="E73" i="3" a="1"/>
  <c r="E73" i="3" s="1"/>
  <c r="D13" i="5" s="1"/>
  <c r="B74" i="3" a="1"/>
  <c r="B74" i="3" s="1"/>
  <c r="B14" i="5" s="1"/>
  <c r="N74" i="3" a="1"/>
  <c r="N74" i="3" s="1"/>
  <c r="M14" i="5" s="1"/>
  <c r="L75" i="3" a="1"/>
  <c r="L75" i="3" s="1"/>
  <c r="J15" i="5" s="1"/>
  <c r="D76" i="3" a="1"/>
  <c r="D76" i="3" s="1"/>
  <c r="C16" i="5" s="1"/>
  <c r="O76" i="3" a="1"/>
  <c r="O76" i="3" s="1"/>
  <c r="N16" i="5" s="1"/>
  <c r="M77" i="3" a="1"/>
  <c r="M77" i="3" s="1"/>
  <c r="K17" i="5" s="1"/>
  <c r="K78" i="3" a="1"/>
  <c r="K78" i="3" s="1"/>
  <c r="H18" i="5" s="1"/>
  <c r="B79" i="3" a="1"/>
  <c r="B79" i="3" s="1"/>
  <c r="B19" i="5" s="1"/>
  <c r="N79" i="3" a="1"/>
  <c r="N79" i="3" s="1"/>
  <c r="M19" i="5" s="1"/>
  <c r="L80" i="3" a="1"/>
  <c r="L80" i="3" s="1"/>
  <c r="J20" i="5" s="1"/>
  <c r="J81" i="3" a="1"/>
  <c r="J81" i="3" s="1"/>
  <c r="G21" i="5" s="1"/>
  <c r="O81" i="3" a="1"/>
  <c r="O81" i="3" s="1"/>
  <c r="N21" i="5" s="1"/>
  <c r="M82" i="3" a="1"/>
  <c r="M82" i="3" s="1"/>
  <c r="K22" i="5" s="1"/>
  <c r="K83" i="3" a="1"/>
  <c r="K83" i="3" s="1"/>
  <c r="H23" i="5" s="1"/>
  <c r="H84" i="3" a="1"/>
  <c r="H84" i="3" s="1"/>
  <c r="F24" i="5" s="1"/>
  <c r="N84" i="3" a="1"/>
  <c r="N84" i="3" s="1"/>
  <c r="M24" i="5" s="1"/>
  <c r="L85" i="3" a="1"/>
  <c r="L85" i="3" s="1"/>
  <c r="J25" i="5" s="1"/>
  <c r="J86" i="3" a="1"/>
  <c r="J86" i="3" s="1"/>
  <c r="G26" i="5" s="1"/>
  <c r="F87" i="3" a="1"/>
  <c r="F87" i="3" s="1"/>
  <c r="E27" i="5" s="1"/>
  <c r="M87" i="3" a="1"/>
  <c r="M87" i="3" s="1"/>
  <c r="K27" i="5" s="1"/>
  <c r="K88" i="3" a="1"/>
  <c r="K88" i="3" s="1"/>
  <c r="H28" i="5" s="1"/>
  <c r="H89" i="3" a="1"/>
  <c r="H89" i="3" s="1"/>
  <c r="F29" i="5" s="1"/>
  <c r="E90" i="3" a="1"/>
  <c r="E90" i="3" s="1"/>
  <c r="D30" i="5" s="1"/>
  <c r="L90" i="3" a="1"/>
  <c r="L90" i="3" s="1"/>
  <c r="J30" i="5" s="1"/>
  <c r="J91" i="3" a="1"/>
  <c r="J91" i="3" s="1"/>
  <c r="G31" i="5" s="1"/>
  <c r="F92" i="3" a="1"/>
  <c r="F92" i="3" s="1"/>
  <c r="E32" i="5" s="1"/>
  <c r="D93" i="3" a="1"/>
  <c r="D93" i="3" s="1"/>
  <c r="C33" i="5" s="1"/>
  <c r="K93" i="3" a="1"/>
  <c r="K93" i="3" s="1"/>
  <c r="H33" i="5" s="1"/>
  <c r="H94" i="3" a="1"/>
  <c r="H94" i="3" s="1"/>
  <c r="F34" i="5" s="1"/>
  <c r="B64" i="3" a="1"/>
  <c r="B64" i="3" s="1"/>
  <c r="B4" i="5" s="1"/>
  <c r="L64" i="3" a="1"/>
  <c r="L64" i="3" s="1"/>
  <c r="J4" i="5" s="1"/>
  <c r="H65" i="3" a="1"/>
  <c r="H65" i="3" s="1"/>
  <c r="F5" i="5" s="1"/>
  <c r="F69" i="3" a="1"/>
  <c r="F69" i="3" s="1"/>
  <c r="E9" i="5" s="1"/>
  <c r="B70" i="3" a="1"/>
  <c r="B70" i="3" s="1"/>
  <c r="B10" i="5" s="1"/>
  <c r="M70" i="3" a="1"/>
  <c r="M70" i="3" s="1"/>
  <c r="K10" i="5" s="1"/>
  <c r="F71" i="3" a="1"/>
  <c r="F71" i="3" s="1"/>
  <c r="E11" i="5" s="1"/>
  <c r="B72" i="3" a="1"/>
  <c r="B72" i="3" s="1"/>
  <c r="B12" i="5" s="1"/>
  <c r="L74" i="3" a="1"/>
  <c r="L74" i="3" s="1"/>
  <c r="J14" i="5" s="1"/>
  <c r="H75" i="3" a="1"/>
  <c r="H75" i="3" s="1"/>
  <c r="F15" i="5" s="1"/>
  <c r="O75" i="3" a="1"/>
  <c r="O75" i="3" s="1"/>
  <c r="N15" i="5" s="1"/>
  <c r="L76" i="3" a="1"/>
  <c r="L76" i="3" s="1"/>
  <c r="J16" i="5" s="1"/>
  <c r="H77" i="3" a="1"/>
  <c r="H77" i="3" s="1"/>
  <c r="F17" i="5" s="1"/>
  <c r="F81" i="3" a="1"/>
  <c r="F81" i="3" s="1"/>
  <c r="E21" i="5" s="1"/>
  <c r="B82" i="3" a="1"/>
  <c r="B82" i="3" s="1"/>
  <c r="B22" i="5" s="1"/>
  <c r="K82" i="3" a="1"/>
  <c r="K82" i="3" s="1"/>
  <c r="H22" i="5" s="1"/>
  <c r="F83" i="3" a="1"/>
  <c r="F83" i="3" s="1"/>
  <c r="E23" i="5" s="1"/>
  <c r="B84" i="3" a="1"/>
  <c r="B84" i="3" s="1"/>
  <c r="B24" i="5" s="1"/>
  <c r="O85" i="3" a="1"/>
  <c r="O85" i="3" s="1"/>
  <c r="N25" i="5" s="1"/>
  <c r="L86" i="3" a="1"/>
  <c r="L86" i="3" s="1"/>
  <c r="J26" i="5" s="1"/>
  <c r="H87" i="3" a="1"/>
  <c r="H87" i="3" s="1"/>
  <c r="F27" i="5" s="1"/>
  <c r="O87" i="3" a="1"/>
  <c r="O87" i="3" s="1"/>
  <c r="N27" i="5" s="1"/>
  <c r="L88" i="3" a="1"/>
  <c r="L88" i="3" s="1"/>
  <c r="J28" i="5" s="1"/>
  <c r="O91" i="3" a="1"/>
  <c r="O91" i="3" s="1"/>
  <c r="N31" i="5" s="1"/>
  <c r="J92" i="3" a="1"/>
  <c r="J92" i="3" s="1"/>
  <c r="G32" i="5" s="1"/>
  <c r="D94" i="3" a="1"/>
  <c r="D94" i="3" s="1"/>
  <c r="C34" i="5" s="1"/>
  <c r="K94" i="3" a="1"/>
  <c r="K94" i="3" s="1"/>
  <c r="H34" i="5" s="1"/>
  <c r="B95" i="3" a="1"/>
  <c r="B95" i="3" s="1"/>
  <c r="B35" i="5" s="1"/>
  <c r="N95" i="3" a="1"/>
  <c r="N95" i="3" s="1"/>
  <c r="M35" i="5" s="1"/>
  <c r="F96" i="3" a="1"/>
  <c r="F96" i="3" s="1"/>
  <c r="E36" i="5" s="1"/>
  <c r="D97" i="3" a="1"/>
  <c r="D97" i="3" s="1"/>
  <c r="C37" i="5" s="1"/>
  <c r="O97" i="3" a="1"/>
  <c r="O97" i="3" s="1"/>
  <c r="N37" i="5" s="1"/>
  <c r="M98" i="3" a="1"/>
  <c r="M98" i="3" s="1"/>
  <c r="K38" i="5" s="1"/>
  <c r="D99" i="3" a="1"/>
  <c r="D99" i="3" s="1"/>
  <c r="C39" i="5" s="1"/>
  <c r="J99" i="3" a="1"/>
  <c r="J99" i="3" s="1"/>
  <c r="G39" i="5" s="1"/>
  <c r="N99" i="3" a="1"/>
  <c r="N99" i="3" s="1"/>
  <c r="M39" i="5" s="1"/>
  <c r="E100" i="3" a="1"/>
  <c r="E100" i="3" s="1"/>
  <c r="K100" i="3" a="1"/>
  <c r="K100" i="3" s="1"/>
  <c r="H40" i="5" s="1"/>
  <c r="O100" i="3" a="1"/>
  <c r="O100" i="3" s="1"/>
  <c r="N40" i="5" s="1"/>
  <c r="F101" i="3" a="1"/>
  <c r="F101" i="3" s="1"/>
  <c r="E41" i="5" s="1"/>
  <c r="L101" i="3" a="1"/>
  <c r="L101" i="3" s="1"/>
  <c r="J41" i="5" s="1"/>
  <c r="B102" i="3" a="1"/>
  <c r="B102" i="3" s="1"/>
  <c r="B42" i="5" s="1"/>
  <c r="H102" i="3" a="1"/>
  <c r="H102" i="3" s="1"/>
  <c r="F42" i="5" s="1"/>
  <c r="M102" i="3" a="1"/>
  <c r="M102" i="3" s="1"/>
  <c r="K42" i="5" s="1"/>
  <c r="D103" i="3" a="1"/>
  <c r="D103" i="3" s="1"/>
  <c r="C43" i="5" s="1"/>
  <c r="J103" i="3" a="1"/>
  <c r="J103" i="3" s="1"/>
  <c r="G43" i="5" s="1"/>
  <c r="N103" i="3" a="1"/>
  <c r="N103" i="3" s="1"/>
  <c r="M43" i="5" s="1"/>
  <c r="D64" i="3" a="1"/>
  <c r="D64" i="3" s="1"/>
  <c r="C4" i="5" s="1"/>
  <c r="M66" i="3" a="1"/>
  <c r="M66" i="3" s="1"/>
  <c r="K6" i="5" s="1"/>
  <c r="J67" i="3" a="1"/>
  <c r="J67" i="3" s="1"/>
  <c r="G7" i="5" s="1"/>
  <c r="B68" i="3" a="1"/>
  <c r="B68" i="3" s="1"/>
  <c r="B8" i="5" s="1"/>
  <c r="M68" i="3" a="1"/>
  <c r="M68" i="3" s="1"/>
  <c r="K8" i="5" s="1"/>
  <c r="J69" i="3" a="1"/>
  <c r="J69" i="3" s="1"/>
  <c r="G9" i="5" s="1"/>
  <c r="H71" i="3" a="1"/>
  <c r="H71" i="3" s="1"/>
  <c r="F11" i="5" s="1"/>
  <c r="D72" i="3" a="1"/>
  <c r="D72" i="3" s="1"/>
  <c r="C12" i="5" s="1"/>
  <c r="N72" i="3" a="1"/>
  <c r="N72" i="3" s="1"/>
  <c r="M12" i="5" s="1"/>
  <c r="H73" i="3" a="1"/>
  <c r="H73" i="3" s="1"/>
  <c r="F13" i="5" s="1"/>
  <c r="D74" i="3" a="1"/>
  <c r="D74" i="3" s="1"/>
  <c r="C14" i="5" s="1"/>
  <c r="B78" i="3" a="1"/>
  <c r="B78" i="3" s="1"/>
  <c r="B18" i="5" s="1"/>
  <c r="M78" i="3" a="1"/>
  <c r="M78" i="3" s="1"/>
  <c r="K18" i="5" s="1"/>
  <c r="J79" i="3" a="1"/>
  <c r="J79" i="3" s="1"/>
  <c r="G19" i="5" s="1"/>
  <c r="B80" i="3" a="1"/>
  <c r="B80" i="3" s="1"/>
  <c r="B20" i="5" s="1"/>
  <c r="M80" i="3" a="1"/>
  <c r="M80" i="3" s="1"/>
  <c r="K20" i="5" s="1"/>
  <c r="H83" i="3" a="1"/>
  <c r="H83" i="3" s="1"/>
  <c r="F23" i="5" s="1"/>
  <c r="D84" i="3" a="1"/>
  <c r="D84" i="3" s="1"/>
  <c r="C24" i="5" s="1"/>
  <c r="L84" i="3" a="1"/>
  <c r="L84" i="3" s="1"/>
  <c r="J24" i="5" s="1"/>
  <c r="H85" i="3" a="1"/>
  <c r="H85" i="3" s="1"/>
  <c r="F25" i="5" s="1"/>
  <c r="D86" i="3" a="1"/>
  <c r="D86" i="3" s="1"/>
  <c r="C26" i="5" s="1"/>
  <c r="B90" i="3" a="1"/>
  <c r="B90" i="3" s="1"/>
  <c r="B30" i="5" s="1"/>
  <c r="M90" i="3" a="1"/>
  <c r="M90" i="3" s="1"/>
  <c r="K30" i="5" s="1"/>
  <c r="F91" i="3" a="1"/>
  <c r="F91" i="3" s="1"/>
  <c r="E31" i="5" s="1"/>
  <c r="B93" i="3" a="1"/>
  <c r="B93" i="3" s="1"/>
  <c r="B33" i="5" s="1"/>
  <c r="L93" i="3" a="1"/>
  <c r="L93" i="3" s="1"/>
  <c r="J33" i="5" s="1"/>
  <c r="L94" i="3" a="1"/>
  <c r="L94" i="3" s="1"/>
  <c r="J34" i="5" s="1"/>
  <c r="J95" i="3" a="1"/>
  <c r="J95" i="3" s="1"/>
  <c r="G35" i="5" s="1"/>
  <c r="O95" i="3" a="1"/>
  <c r="O95" i="3" s="1"/>
  <c r="N35" i="5" s="1"/>
  <c r="M96" i="3" a="1"/>
  <c r="M96" i="3" s="1"/>
  <c r="K36" i="5" s="1"/>
  <c r="K97" i="3" a="1"/>
  <c r="K97" i="3" s="1"/>
  <c r="H37" i="5" s="1"/>
  <c r="H98" i="3" a="1"/>
  <c r="H98" i="3" s="1"/>
  <c r="F38" i="5" s="1"/>
  <c r="F100" i="3" a="1"/>
  <c r="F100" i="3" s="1"/>
  <c r="E40" i="5" s="1"/>
  <c r="B101" i="3" a="1"/>
  <c r="B101" i="3" s="1"/>
  <c r="B41" i="5" s="1"/>
  <c r="M101" i="3" a="1"/>
  <c r="M101" i="3" s="1"/>
  <c r="K41" i="5" s="1"/>
  <c r="J102" i="3" a="1"/>
  <c r="J102" i="3" s="1"/>
  <c r="G42" i="5" s="1"/>
  <c r="E103" i="3" a="1"/>
  <c r="E103" i="3" s="1"/>
  <c r="O103" i="3" a="1"/>
  <c r="O103" i="3" s="1"/>
  <c r="N43" i="5" s="1"/>
  <c r="L71" i="3" a="1"/>
  <c r="L71" i="3" s="1"/>
  <c r="J11" i="5" s="1"/>
  <c r="B75" i="3" a="1"/>
  <c r="B75" i="3" s="1"/>
  <c r="B15" i="5" s="1"/>
  <c r="B77" i="3" a="1"/>
  <c r="B77" i="3" s="1"/>
  <c r="B17" i="5" s="1"/>
  <c r="J65" i="3" a="1"/>
  <c r="J65" i="3" s="1"/>
  <c r="G5" i="5" s="1"/>
  <c r="E66" i="3" a="1"/>
  <c r="E66" i="3" s="1"/>
  <c r="D6" i="5" s="1"/>
  <c r="N68" i="3" a="1"/>
  <c r="N68" i="3" s="1"/>
  <c r="M8" i="5" s="1"/>
  <c r="K69" i="3" a="1"/>
  <c r="K69" i="3" s="1"/>
  <c r="H9" i="5" s="1"/>
  <c r="D70" i="3" a="1"/>
  <c r="D70" i="3" s="1"/>
  <c r="C10" i="5" s="1"/>
  <c r="N70" i="3" a="1"/>
  <c r="N70" i="3" s="1"/>
  <c r="M10" i="5" s="1"/>
  <c r="K71" i="3" a="1"/>
  <c r="K71" i="3" s="1"/>
  <c r="H11" i="5" s="1"/>
  <c r="J75" i="3" a="1"/>
  <c r="J75" i="3" s="1"/>
  <c r="G15" i="5" s="1"/>
  <c r="E76" i="3" a="1"/>
  <c r="E76" i="3" s="1"/>
  <c r="D16" i="5" s="1"/>
  <c r="M76" i="3" a="1"/>
  <c r="M76" i="3" s="1"/>
  <c r="K16" i="5" s="1"/>
  <c r="J77" i="3" a="1"/>
  <c r="J77" i="3" s="1"/>
  <c r="G17" i="5" s="1"/>
  <c r="E78" i="3" a="1"/>
  <c r="E78" i="3" s="1"/>
  <c r="D18" i="5" s="1"/>
  <c r="D80" i="3" a="1"/>
  <c r="D80" i="3" s="1"/>
  <c r="C20" i="5" s="1"/>
  <c r="N80" i="3" a="1"/>
  <c r="N80" i="3" s="1"/>
  <c r="M20" i="5" s="1"/>
  <c r="K81" i="3" a="1"/>
  <c r="K81" i="3" s="1"/>
  <c r="H21" i="5" s="1"/>
  <c r="D82" i="3" a="1"/>
  <c r="D82" i="3" s="1"/>
  <c r="C22" i="5" s="1"/>
  <c r="N82" i="3" a="1"/>
  <c r="N82" i="3" s="1"/>
  <c r="M22" i="5" s="1"/>
  <c r="M86" i="3" a="1"/>
  <c r="M86" i="3" s="1"/>
  <c r="K26" i="5" s="1"/>
  <c r="J87" i="3" a="1"/>
  <c r="J87" i="3" s="1"/>
  <c r="G27" i="5" s="1"/>
  <c r="E88" i="3" a="1"/>
  <c r="E88" i="3" s="1"/>
  <c r="D28" i="5" s="1"/>
  <c r="M88" i="3" a="1"/>
  <c r="M88" i="3" s="1"/>
  <c r="K28" i="5" s="1"/>
  <c r="J89" i="3" a="1"/>
  <c r="J89" i="3" s="1"/>
  <c r="G29" i="5" s="1"/>
  <c r="B92" i="3" a="1"/>
  <c r="B92" i="3" s="1"/>
  <c r="B32" i="5" s="1"/>
  <c r="K92" i="3" a="1"/>
  <c r="K92" i="3" s="1"/>
  <c r="H32" i="5" s="1"/>
  <c r="E93" i="3" a="1"/>
  <c r="E93" i="3" s="1"/>
  <c r="D33" i="5" s="1"/>
  <c r="E94" i="3" a="1"/>
  <c r="E94" i="3" s="1"/>
  <c r="D34" i="5" s="1"/>
  <c r="D95" i="3" a="1"/>
  <c r="D95" i="3" s="1"/>
  <c r="C35" i="5" s="1"/>
  <c r="K95" i="3" a="1"/>
  <c r="K95" i="3" s="1"/>
  <c r="H35" i="5" s="1"/>
  <c r="H96" i="3" a="1"/>
  <c r="H96" i="3" s="1"/>
  <c r="F36" i="5" s="1"/>
  <c r="E97" i="3" a="1"/>
  <c r="E97" i="3" s="1"/>
  <c r="D37" i="5" s="1"/>
  <c r="B98" i="3" a="1"/>
  <c r="B98" i="3" s="1"/>
  <c r="B38" i="5" s="1"/>
  <c r="J98" i="3" a="1"/>
  <c r="J98" i="3" s="1"/>
  <c r="G38" i="5" s="1"/>
  <c r="N98" i="3" a="1"/>
  <c r="N98" i="3" s="1"/>
  <c r="M38" i="5" s="1"/>
  <c r="E99" i="3" a="1"/>
  <c r="E99" i="3" s="1"/>
  <c r="K99" i="3" a="1"/>
  <c r="K99" i="3" s="1"/>
  <c r="H39" i="5" s="1"/>
  <c r="O99" i="3" a="1"/>
  <c r="O99" i="3" s="1"/>
  <c r="N39" i="5" s="1"/>
  <c r="L100" i="3" a="1"/>
  <c r="L100" i="3" s="1"/>
  <c r="J40" i="5" s="1"/>
  <c r="H101" i="3" a="1"/>
  <c r="H101" i="3" s="1"/>
  <c r="F41" i="5" s="1"/>
  <c r="D102" i="3" a="1"/>
  <c r="D102" i="3" s="1"/>
  <c r="C42" i="5" s="1"/>
  <c r="N102" i="3" a="1"/>
  <c r="N102" i="3" s="1"/>
  <c r="M42" i="5" s="1"/>
  <c r="K103" i="3" a="1"/>
  <c r="K103" i="3" s="1"/>
  <c r="H43" i="5" s="1"/>
  <c r="O70" i="3" a="1"/>
  <c r="O70" i="3" s="1"/>
  <c r="N10" i="5" s="1"/>
  <c r="F74" i="3" a="1"/>
  <c r="F74" i="3" s="1"/>
  <c r="E14" i="5" s="1"/>
  <c r="F76" i="3" a="1"/>
  <c r="F76" i="3" s="1"/>
  <c r="E16" i="5" s="1"/>
  <c r="E64" i="3" a="1"/>
  <c r="E64" i="3" s="1"/>
  <c r="D4" i="5" s="1"/>
  <c r="K65" i="3" a="1"/>
  <c r="K65" i="3" s="1"/>
  <c r="H5" i="5" s="1"/>
  <c r="F66" i="3" a="1"/>
  <c r="F66" i="3" s="1"/>
  <c r="E6" i="5" s="1"/>
  <c r="B67" i="3" a="1"/>
  <c r="B67" i="3" s="1"/>
  <c r="B7" i="5" s="1"/>
  <c r="K67" i="3" a="1"/>
  <c r="K67" i="3" s="1"/>
  <c r="H7" i="5" s="1"/>
  <c r="F68" i="3" a="1"/>
  <c r="F68" i="3" s="1"/>
  <c r="E8" i="5" s="1"/>
  <c r="E72" i="3" a="1"/>
  <c r="E72" i="3" s="1"/>
  <c r="D12" i="5" s="1"/>
  <c r="O72" i="3" a="1"/>
  <c r="O72" i="3" s="1"/>
  <c r="N12" i="5" s="1"/>
  <c r="L73" i="3" a="1"/>
  <c r="L73" i="3" s="1"/>
  <c r="J13" i="5" s="1"/>
  <c r="E74" i="3" a="1"/>
  <c r="E74" i="3" s="1"/>
  <c r="D14" i="5" s="1"/>
  <c r="O74" i="3" a="1"/>
  <c r="O74" i="3" s="1"/>
  <c r="N14" i="5" s="1"/>
  <c r="K77" i="3" a="1"/>
  <c r="K77" i="3" s="1"/>
  <c r="H17" i="5" s="1"/>
  <c r="F78" i="3" a="1"/>
  <c r="F78" i="3" s="1"/>
  <c r="E18" i="5" s="1"/>
  <c r="N78" i="3" a="1"/>
  <c r="N78" i="3" s="1"/>
  <c r="M18" i="5" s="1"/>
  <c r="K79" i="3" a="1"/>
  <c r="K79" i="3" s="1"/>
  <c r="H19" i="5" s="1"/>
  <c r="F80" i="3" a="1"/>
  <c r="F80" i="3" s="1"/>
  <c r="E20" i="5" s="1"/>
  <c r="E84" i="3" a="1"/>
  <c r="E84" i="3" s="1"/>
  <c r="D24" i="5" s="1"/>
  <c r="O84" i="3" a="1"/>
  <c r="O84" i="3" s="1"/>
  <c r="N24" i="5" s="1"/>
  <c r="J85" i="3" a="1"/>
  <c r="J85" i="3" s="1"/>
  <c r="G25" i="5" s="1"/>
  <c r="E86" i="3" a="1"/>
  <c r="E86" i="3" s="1"/>
  <c r="D26" i="5" s="1"/>
  <c r="O86" i="3" a="1"/>
  <c r="O86" i="3" s="1"/>
  <c r="N26" i="5" s="1"/>
  <c r="N88" i="3" a="1"/>
  <c r="N88" i="3" s="1"/>
  <c r="M28" i="5" s="1"/>
  <c r="K89" i="3" a="1"/>
  <c r="K89" i="3" s="1"/>
  <c r="H29" i="5" s="1"/>
  <c r="F90" i="3" a="1"/>
  <c r="F90" i="3" s="1"/>
  <c r="E30" i="5" s="1"/>
  <c r="N90" i="3" a="1"/>
  <c r="N90" i="3" s="1"/>
  <c r="M30" i="5" s="1"/>
  <c r="K91" i="3" a="1"/>
  <c r="K91" i="3" s="1"/>
  <c r="H31" i="5" s="1"/>
  <c r="D92" i="3" a="1"/>
  <c r="D92" i="3" s="1"/>
  <c r="C32" i="5" s="1"/>
  <c r="M93" i="3" a="1"/>
  <c r="M93" i="3" s="1"/>
  <c r="K33" i="5" s="1"/>
  <c r="F94" i="3" a="1"/>
  <c r="F94" i="3" s="1"/>
  <c r="E34" i="5" s="1"/>
  <c r="M94" i="3" a="1"/>
  <c r="M94" i="3" s="1"/>
  <c r="K34" i="5" s="1"/>
  <c r="E95" i="3" a="1"/>
  <c r="E95" i="3" s="1"/>
  <c r="D35" i="5" s="1"/>
  <c r="B96" i="3" a="1"/>
  <c r="B96" i="3" s="1"/>
  <c r="B36" i="5" s="1"/>
  <c r="N96" i="3" a="1"/>
  <c r="N96" i="3" s="1"/>
  <c r="M36" i="5" s="1"/>
  <c r="L97" i="3" a="1"/>
  <c r="L97" i="3" s="1"/>
  <c r="J37" i="5" s="1"/>
  <c r="D98" i="3" a="1"/>
  <c r="D98" i="3" s="1"/>
  <c r="C38" i="5" s="1"/>
  <c r="B65" i="3" a="1"/>
  <c r="B65" i="3" s="1"/>
  <c r="B5" i="5" s="1"/>
  <c r="M65" i="3" a="1"/>
  <c r="M65" i="3" s="1"/>
  <c r="K5" i="5" s="1"/>
  <c r="L69" i="3" a="1"/>
  <c r="L69" i="3" s="1"/>
  <c r="J9" i="5" s="1"/>
  <c r="H70" i="3" a="1"/>
  <c r="H70" i="3" s="1"/>
  <c r="F10" i="5" s="1"/>
  <c r="H72" i="3" a="1"/>
  <c r="H72" i="3" s="1"/>
  <c r="F12" i="5" s="1"/>
  <c r="M75" i="3" a="1"/>
  <c r="M75" i="3" s="1"/>
  <c r="K15" i="5" s="1"/>
  <c r="O65" i="3" a="1"/>
  <c r="O65" i="3" s="1"/>
  <c r="N5" i="5" s="1"/>
  <c r="H78" i="3" a="1"/>
  <c r="H78" i="3" s="1"/>
  <c r="F18" i="5" s="1"/>
  <c r="L79" i="3" a="1"/>
  <c r="L79" i="3" s="1"/>
  <c r="J19" i="5" s="1"/>
  <c r="D81" i="3" a="1"/>
  <c r="D81" i="3" s="1"/>
  <c r="C21" i="5" s="1"/>
  <c r="M83" i="3" a="1"/>
  <c r="M83" i="3" s="1"/>
  <c r="K23" i="5" s="1"/>
  <c r="B85" i="3" a="1"/>
  <c r="B85" i="3" s="1"/>
  <c r="B25" i="5" s="1"/>
  <c r="H90" i="3" a="1"/>
  <c r="H90" i="3" s="1"/>
  <c r="F30" i="5" s="1"/>
  <c r="L91" i="3" a="1"/>
  <c r="L91" i="3" s="1"/>
  <c r="J31" i="5" s="1"/>
  <c r="N92" i="3" a="1"/>
  <c r="N92" i="3" s="1"/>
  <c r="M32" i="5" s="1"/>
  <c r="N93" i="3" a="1"/>
  <c r="N93" i="3" s="1"/>
  <c r="M33" i="5" s="1"/>
  <c r="H97" i="3" a="1"/>
  <c r="H97" i="3" s="1"/>
  <c r="F37" i="5" s="1"/>
  <c r="E98" i="3" a="1"/>
  <c r="E98" i="3" s="1"/>
  <c r="J100" i="3" a="1"/>
  <c r="J100" i="3" s="1"/>
  <c r="G40" i="5" s="1"/>
  <c r="O101" i="3" a="1"/>
  <c r="O101" i="3" s="1"/>
  <c r="N41" i="5" s="1"/>
  <c r="H103" i="3" a="1"/>
  <c r="H103" i="3" s="1"/>
  <c r="F43" i="5" s="1"/>
  <c r="B87" i="3" a="1"/>
  <c r="B87" i="3" s="1"/>
  <c r="B27" i="5" s="1"/>
  <c r="F93" i="3" a="1"/>
  <c r="F93" i="3" s="1"/>
  <c r="E33" i="5" s="1"/>
  <c r="F99" i="3" a="1"/>
  <c r="F99" i="3" s="1"/>
  <c r="E39" i="5" s="1"/>
  <c r="J101" i="3" a="1"/>
  <c r="J101" i="3" s="1"/>
  <c r="G41" i="5" s="1"/>
  <c r="L103" i="3" a="1"/>
  <c r="L103" i="3" s="1"/>
  <c r="J43" i="5" s="1"/>
  <c r="L68" i="3" a="1"/>
  <c r="L68" i="3" s="1"/>
  <c r="J8" i="5" s="1"/>
  <c r="N73" i="3" a="1"/>
  <c r="N73" i="3" s="1"/>
  <c r="M13" i="5" s="1"/>
  <c r="H80" i="3" a="1"/>
  <c r="H80" i="3" s="1"/>
  <c r="F20" i="5" s="1"/>
  <c r="M85" i="3" a="1"/>
  <c r="M85" i="3" s="1"/>
  <c r="K25" i="5" s="1"/>
  <c r="E92" i="3" a="1"/>
  <c r="E92" i="3" s="1"/>
  <c r="D32" i="5" s="1"/>
  <c r="O96" i="3" a="1"/>
  <c r="O96" i="3" s="1"/>
  <c r="N36" i="5" s="1"/>
  <c r="D69" i="3" a="1"/>
  <c r="D69" i="3" s="1"/>
  <c r="C9" i="5" s="1"/>
  <c r="E83" i="3" a="1"/>
  <c r="E83" i="3" s="1"/>
  <c r="D23" i="5" s="1"/>
  <c r="N89" i="3" a="1"/>
  <c r="N89" i="3" s="1"/>
  <c r="M29" i="5" s="1"/>
  <c r="B97" i="3" a="1"/>
  <c r="B97" i="3" s="1"/>
  <c r="B37" i="5" s="1"/>
  <c r="H99" i="3" a="1"/>
  <c r="H99" i="3" s="1"/>
  <c r="F39" i="5" s="1"/>
  <c r="K101" i="3" a="1"/>
  <c r="K101" i="3" s="1"/>
  <c r="H41" i="5" s="1"/>
  <c r="M103" i="3" a="1"/>
  <c r="M103" i="3" s="1"/>
  <c r="K43" i="5" s="1"/>
  <c r="K72" i="3" a="1"/>
  <c r="K72" i="3" s="1"/>
  <c r="H12" i="5" s="1"/>
  <c r="K84" i="3" a="1"/>
  <c r="K84" i="3" s="1"/>
  <c r="H24" i="5" s="1"/>
  <c r="E91" i="3" a="1"/>
  <c r="E91" i="3" s="1"/>
  <c r="D31" i="5" s="1"/>
  <c r="E96" i="3" a="1"/>
  <c r="E96" i="3" s="1"/>
  <c r="D36" i="5" s="1"/>
  <c r="L83" i="3" a="1"/>
  <c r="L83" i="3" s="1"/>
  <c r="J23" i="5" s="1"/>
  <c r="N94" i="3" a="1"/>
  <c r="N94" i="3" s="1"/>
  <c r="M34" i="5" s="1"/>
  <c r="O98" i="3" a="1"/>
  <c r="O98" i="3" s="1"/>
  <c r="N38" i="5" s="1"/>
  <c r="N101" i="3" a="1"/>
  <c r="N101" i="3" s="1"/>
  <c r="M41" i="5" s="1"/>
  <c r="K64" i="3" a="1"/>
  <c r="K64" i="3" s="1"/>
  <c r="H4" i="5" s="1"/>
  <c r="H66" i="3" a="1"/>
  <c r="H66" i="3" s="1"/>
  <c r="F6" i="5" s="1"/>
  <c r="O67" i="3" a="1"/>
  <c r="O67" i="3" s="1"/>
  <c r="N7" i="5" s="1"/>
  <c r="O69" i="3" a="1"/>
  <c r="O69" i="3" s="1"/>
  <c r="N9" i="5" s="1"/>
  <c r="M71" i="3" a="1"/>
  <c r="M71" i="3" s="1"/>
  <c r="K11" i="5" s="1"/>
  <c r="F73" i="3" a="1"/>
  <c r="F73" i="3" s="1"/>
  <c r="E13" i="5" s="1"/>
  <c r="D75" i="3" a="1"/>
  <c r="D75" i="3" s="1"/>
  <c r="C15" i="5" s="1"/>
  <c r="E81" i="3" a="1"/>
  <c r="E81" i="3" s="1"/>
  <c r="D21" i="5" s="1"/>
  <c r="J82" i="3" a="1"/>
  <c r="J82" i="3" s="1"/>
  <c r="G22" i="5" s="1"/>
  <c r="N87" i="3" a="1"/>
  <c r="N87" i="3" s="1"/>
  <c r="M27" i="5" s="1"/>
  <c r="D89" i="3" a="1"/>
  <c r="D89" i="3" s="1"/>
  <c r="C29" i="5" s="1"/>
  <c r="M91" i="3" a="1"/>
  <c r="M91" i="3" s="1"/>
  <c r="K31" i="5" s="1"/>
  <c r="B94" i="3" a="1"/>
  <c r="B94" i="3" s="1"/>
  <c r="B34" i="5" s="1"/>
  <c r="O94" i="3" a="1"/>
  <c r="O94" i="3" s="1"/>
  <c r="N34" i="5" s="1"/>
  <c r="M95" i="3" a="1"/>
  <c r="M95" i="3" s="1"/>
  <c r="K35" i="5" s="1"/>
  <c r="K96" i="3" a="1"/>
  <c r="K96" i="3" s="1"/>
  <c r="H36" i="5" s="1"/>
  <c r="B99" i="3" a="1"/>
  <c r="B99" i="3" s="1"/>
  <c r="B39" i="5" s="1"/>
  <c r="M99" i="3" a="1"/>
  <c r="M99" i="3" s="1"/>
  <c r="K39" i="5" s="1"/>
  <c r="E101" i="3" a="1"/>
  <c r="E101" i="3" s="1"/>
  <c r="L102" i="3" a="1"/>
  <c r="L102" i="3" s="1"/>
  <c r="J42" i="5" s="1"/>
  <c r="O82" i="3" a="1"/>
  <c r="O82" i="3" s="1"/>
  <c r="N22" i="5" s="1"/>
  <c r="M97" i="3" a="1"/>
  <c r="M97" i="3" s="1"/>
  <c r="K37" i="5" s="1"/>
  <c r="B100" i="3" a="1"/>
  <c r="B100" i="3" s="1"/>
  <c r="B40" i="5" s="1"/>
  <c r="E102" i="3" a="1"/>
  <c r="E102" i="3" s="1"/>
  <c r="D65" i="3" a="1"/>
  <c r="D65" i="3" s="1"/>
  <c r="C5" i="5" s="1"/>
  <c r="J70" i="3" a="1"/>
  <c r="J70" i="3" s="1"/>
  <c r="G10" i="5" s="1"/>
  <c r="N75" i="3" a="1"/>
  <c r="N75" i="3" s="1"/>
  <c r="M15" i="5" s="1"/>
  <c r="J84" i="3" a="1"/>
  <c r="J84" i="3" s="1"/>
  <c r="G24" i="5" s="1"/>
  <c r="L89" i="3" a="1"/>
  <c r="L89" i="3" s="1"/>
  <c r="J29" i="5" s="1"/>
  <c r="F95" i="3" a="1"/>
  <c r="F95" i="3" s="1"/>
  <c r="E35" i="5" s="1"/>
  <c r="J74" i="3" a="1"/>
  <c r="J74" i="3" s="1"/>
  <c r="G14" i="5" s="1"/>
  <c r="M81" i="3" a="1"/>
  <c r="M81" i="3" s="1"/>
  <c r="K21" i="5" s="1"/>
  <c r="H88" i="3" a="1"/>
  <c r="H88" i="3" s="1"/>
  <c r="F28" i="5" s="1"/>
  <c r="J94" i="3" a="1"/>
  <c r="J94" i="3" s="1"/>
  <c r="G34" i="5" s="1"/>
  <c r="L98" i="3" a="1"/>
  <c r="L98" i="3" s="1"/>
  <c r="J38" i="5" s="1"/>
  <c r="D100" i="3" a="1"/>
  <c r="D100" i="3" s="1"/>
  <c r="C40" i="5" s="1"/>
  <c r="F102" i="3" a="1"/>
  <c r="F102" i="3" s="1"/>
  <c r="E42" i="5" s="1"/>
  <c r="E69" i="3" a="1"/>
  <c r="E69" i="3" s="1"/>
  <c r="D9" i="5" s="1"/>
  <c r="O77" i="3" a="1"/>
  <c r="O77" i="3" s="1"/>
  <c r="N17" i="5" s="1"/>
  <c r="N85" i="3" a="1"/>
  <c r="N85" i="3" s="1"/>
  <c r="M25" i="5" s="1"/>
  <c r="H92" i="3" a="1"/>
  <c r="H92" i="3" s="1"/>
  <c r="F32" i="5" s="1"/>
  <c r="O80" i="3" a="1"/>
  <c r="O80" i="3" s="1"/>
  <c r="N20" i="5" s="1"/>
  <c r="K87" i="3" a="1"/>
  <c r="K87" i="3" s="1"/>
  <c r="H27" i="5" s="1"/>
  <c r="L95" i="3" a="1"/>
  <c r="L95" i="3" s="1"/>
  <c r="J35" i="5" s="1"/>
  <c r="L99" i="3" a="1"/>
  <c r="L99" i="3" s="1"/>
  <c r="J39" i="5" s="1"/>
  <c r="K102" i="3" a="1"/>
  <c r="K102" i="3" s="1"/>
  <c r="H42" i="5" s="1"/>
  <c r="K66" i="3" a="1"/>
  <c r="K66" i="3" s="1"/>
  <c r="H6" i="5" s="1"/>
  <c r="H68" i="3" a="1"/>
  <c r="H68" i="3" s="1"/>
  <c r="F8" i="5" s="1"/>
  <c r="M73" i="3" a="1"/>
  <c r="M73" i="3" s="1"/>
  <c r="K13" i="5" s="1"/>
  <c r="F75" i="3" a="1"/>
  <c r="F75" i="3" s="1"/>
  <c r="E15" i="5" s="1"/>
  <c r="D77" i="3" a="1"/>
  <c r="D77" i="3" s="1"/>
  <c r="C17" i="5" s="1"/>
  <c r="L78" i="3" a="1"/>
  <c r="L78" i="3" s="1"/>
  <c r="J18" i="5" s="1"/>
  <c r="O79" i="3" a="1"/>
  <c r="O79" i="3" s="1"/>
  <c r="N19" i="5" s="1"/>
  <c r="N83" i="3" a="1"/>
  <c r="N83" i="3" s="1"/>
  <c r="M23" i="5" s="1"/>
  <c r="F85" i="3" a="1"/>
  <c r="F85" i="3" s="1"/>
  <c r="E25" i="5" s="1"/>
  <c r="K86" i="3" a="1"/>
  <c r="K86" i="3" s="1"/>
  <c r="H26" i="5" s="1"/>
  <c r="E89" i="3" a="1"/>
  <c r="E89" i="3" s="1"/>
  <c r="D29" i="5" s="1"/>
  <c r="J90" i="3" a="1"/>
  <c r="J90" i="3" s="1"/>
  <c r="G30" i="5" s="1"/>
  <c r="O92" i="3" a="1"/>
  <c r="O92" i="3" s="1"/>
  <c r="N32" i="5" s="1"/>
  <c r="L96" i="3" a="1"/>
  <c r="L96" i="3" s="1"/>
  <c r="J36" i="5" s="1"/>
  <c r="J97" i="3" a="1"/>
  <c r="J97" i="3" s="1"/>
  <c r="G37" i="5" s="1"/>
  <c r="F98" i="3" a="1"/>
  <c r="F98" i="3" s="1"/>
  <c r="E38" i="5" s="1"/>
  <c r="L66" i="3" a="1"/>
  <c r="L66" i="3" s="1"/>
  <c r="J6" i="5" s="1"/>
  <c r="J68" i="3" a="1"/>
  <c r="J68" i="3" s="1"/>
  <c r="G8" i="5" s="1"/>
  <c r="E77" i="3" a="1"/>
  <c r="E77" i="3" s="1"/>
  <c r="D17" i="5" s="1"/>
  <c r="L81" i="3" a="1"/>
  <c r="L81" i="3" s="1"/>
  <c r="J21" i="5" s="1"/>
  <c r="F88" i="3" a="1"/>
  <c r="F88" i="3" s="1"/>
  <c r="E28" i="5" s="1"/>
  <c r="K98" i="3" a="1"/>
  <c r="K98" i="3" s="1"/>
  <c r="H38" i="5" s="1"/>
  <c r="M100" i="3" a="1"/>
  <c r="M100" i="3" s="1"/>
  <c r="K40" i="5" s="1"/>
  <c r="O102" i="3" a="1"/>
  <c r="O102" i="3" s="1"/>
  <c r="N42" i="5" s="1"/>
  <c r="D67" i="3" a="1"/>
  <c r="D67" i="3" s="1"/>
  <c r="C7" i="5" s="1"/>
  <c r="J72" i="3" a="1"/>
  <c r="J72" i="3" s="1"/>
  <c r="G12" i="5" s="1"/>
  <c r="D79" i="3" a="1"/>
  <c r="D79" i="3" s="1"/>
  <c r="C19" i="5" s="1"/>
  <c r="B83" i="3" a="1"/>
  <c r="B83" i="3" s="1"/>
  <c r="B23" i="5" s="1"/>
  <c r="D91" i="3" a="1"/>
  <c r="D91" i="3" s="1"/>
  <c r="C31" i="5" s="1"/>
  <c r="D96" i="3" a="1"/>
  <c r="D96" i="3" s="1"/>
  <c r="C36" i="5" s="1"/>
  <c r="N77" i="3" a="1"/>
  <c r="N77" i="3" s="1"/>
  <c r="M17" i="5" s="1"/>
  <c r="J80" i="3" a="1"/>
  <c r="J80" i="3" s="1"/>
  <c r="G20" i="5" s="1"/>
  <c r="D87" i="3" a="1"/>
  <c r="D87" i="3" s="1"/>
  <c r="C27" i="5" s="1"/>
  <c r="H93" i="3" a="1"/>
  <c r="H93" i="3" s="1"/>
  <c r="F33" i="5" s="1"/>
  <c r="N97" i="3" a="1"/>
  <c r="N97" i="3" s="1"/>
  <c r="M37" i="5" s="1"/>
  <c r="N100" i="3" a="1"/>
  <c r="N100" i="3" s="1"/>
  <c r="M40" i="5" s="1"/>
  <c r="B103" i="3" a="1"/>
  <c r="B103" i="3" s="1"/>
  <c r="B43" i="5" s="1"/>
  <c r="E67" i="3" a="1"/>
  <c r="E67" i="3" s="1"/>
  <c r="D7" i="5" s="1"/>
  <c r="E79" i="3" a="1"/>
  <c r="E79" i="3" s="1"/>
  <c r="D19" i="5" s="1"/>
  <c r="O89" i="3" a="1"/>
  <c r="O89" i="3" s="1"/>
  <c r="N29" i="5" s="1"/>
  <c r="H95" i="3" a="1"/>
  <c r="H95" i="3" s="1"/>
  <c r="F35" i="5" s="1"/>
  <c r="H82" i="3" a="1"/>
  <c r="H82" i="3" s="1"/>
  <c r="F22" i="5" s="1"/>
  <c r="B89" i="3" a="1"/>
  <c r="B89" i="3" s="1"/>
  <c r="B29" i="5" s="1"/>
  <c r="J96" i="3" a="1"/>
  <c r="J96" i="3" s="1"/>
  <c r="G36" i="5" s="1"/>
  <c r="H100" i="3" a="1"/>
  <c r="H100" i="3" s="1"/>
  <c r="F40" i="5" s="1"/>
  <c r="F103" i="3" a="1"/>
  <c r="F103" i="3" s="1"/>
  <c r="E43" i="5" s="1"/>
  <c r="N65" i="3" a="1"/>
  <c r="N65" i="3" s="1"/>
  <c r="M5" i="5" s="1"/>
  <c r="N67" i="3" a="1"/>
  <c r="N67" i="3" s="1"/>
  <c r="M7" i="5" s="1"/>
  <c r="E71" i="3" a="1"/>
  <c r="E71" i="3" s="1"/>
  <c r="D11" i="5" s="1"/>
  <c r="B73" i="3" a="1"/>
  <c r="B73" i="3" s="1"/>
  <c r="B13" i="5" s="1"/>
  <c r="K74" i="3" a="1"/>
  <c r="K74" i="3" s="1"/>
  <c r="H14" i="5" s="1"/>
  <c r="K76" i="3" a="1"/>
  <c r="K76" i="3" s="1"/>
  <c r="H16" i="5" s="1"/>
  <c r="F86" i="3" a="1"/>
  <c r="F86" i="3" s="1"/>
  <c r="E26" i="5" s="1"/>
  <c r="M92" i="3" a="1"/>
  <c r="M92" i="3" s="1"/>
  <c r="K32" i="5" s="1"/>
  <c r="F97" i="3" a="1"/>
  <c r="F97" i="3" s="1"/>
  <c r="E37" i="5" s="1"/>
  <c r="D101" i="3" a="1"/>
  <c r="D101" i="3" s="1"/>
  <c r="C41" i="5" s="1"/>
  <c r="B396" i="1"/>
  <c r="J4" i="6" l="1"/>
  <c r="K6" i="6"/>
  <c r="S108" i="3"/>
  <c r="K23" i="6"/>
  <c r="S125" i="3"/>
  <c r="J12" i="6"/>
  <c r="R114" i="3"/>
  <c r="J27" i="6"/>
  <c r="R129" i="3"/>
  <c r="K12" i="6"/>
  <c r="S114" i="3"/>
  <c r="K25" i="6"/>
  <c r="S127" i="3"/>
  <c r="K11" i="6"/>
  <c r="S113" i="3"/>
  <c r="J26" i="6"/>
  <c r="R128" i="3"/>
  <c r="J14" i="6"/>
  <c r="R116" i="3"/>
  <c r="J13" i="6"/>
  <c r="R115" i="3"/>
  <c r="J19" i="6"/>
  <c r="R121" i="3"/>
  <c r="K21" i="6"/>
  <c r="S123" i="3"/>
  <c r="K7" i="6"/>
  <c r="S109" i="3"/>
  <c r="K14" i="6"/>
  <c r="S116" i="3"/>
  <c r="J15" i="6"/>
  <c r="R117" i="3"/>
  <c r="K27" i="6"/>
  <c r="S129" i="3"/>
  <c r="K15" i="6"/>
  <c r="S117" i="3"/>
  <c r="J6" i="6"/>
  <c r="R108" i="3"/>
  <c r="J25" i="6"/>
  <c r="R127" i="3"/>
  <c r="J16" i="6"/>
  <c r="R118" i="3"/>
  <c r="K13" i="6"/>
  <c r="S115" i="3"/>
  <c r="K16" i="6"/>
  <c r="S118" i="3"/>
  <c r="J8" i="6"/>
  <c r="R110" i="3"/>
  <c r="J20" i="6"/>
  <c r="R122" i="3"/>
  <c r="J5" i="6"/>
  <c r="R107" i="3"/>
  <c r="K17" i="6"/>
  <c r="S119" i="3"/>
  <c r="J11" i="6"/>
  <c r="R113" i="3"/>
  <c r="K20" i="6"/>
  <c r="S122" i="3"/>
  <c r="J23" i="6"/>
  <c r="R125" i="3"/>
  <c r="J9" i="6"/>
  <c r="R111" i="3"/>
  <c r="J10" i="6"/>
  <c r="R112" i="3"/>
  <c r="K22" i="6"/>
  <c r="S124" i="3"/>
  <c r="K10" i="6"/>
  <c r="S112" i="3"/>
  <c r="K5" i="6"/>
  <c r="S107" i="3"/>
  <c r="K18" i="6"/>
  <c r="S120" i="3"/>
  <c r="J18" i="6"/>
  <c r="R120" i="3"/>
  <c r="K9" i="6"/>
  <c r="S111" i="3"/>
  <c r="J17" i="6"/>
  <c r="R119" i="3"/>
  <c r="K19" i="6"/>
  <c r="S121" i="3"/>
  <c r="K8" i="6"/>
  <c r="S110" i="3"/>
  <c r="K24" i="6"/>
  <c r="S126" i="3"/>
  <c r="J21" i="6"/>
  <c r="R123" i="3"/>
  <c r="J24" i="6"/>
  <c r="R126" i="3"/>
  <c r="J7" i="6"/>
  <c r="R109" i="3"/>
  <c r="J22" i="6"/>
  <c r="R124" i="3"/>
  <c r="K26" i="6"/>
  <c r="S128" i="3"/>
  <c r="S106" i="3"/>
  <c r="A106" i="3" s="1"/>
  <c r="D13" i="4"/>
  <c r="F13" i="4" s="1"/>
  <c r="A100" i="3"/>
  <c r="D40" i="5"/>
  <c r="A103" i="3"/>
  <c r="D43" i="5"/>
  <c r="A99" i="3"/>
  <c r="D39" i="5"/>
  <c r="A101" i="3"/>
  <c r="D41" i="5"/>
  <c r="A98" i="3"/>
  <c r="D38" i="5"/>
  <c r="A102" i="3"/>
  <c r="D42" i="5"/>
  <c r="A113" i="3" l="1"/>
  <c r="A119" i="3"/>
  <c r="A126" i="3"/>
  <c r="A112" i="3"/>
  <c r="A117" i="3"/>
  <c r="A114" i="3"/>
  <c r="A109" i="3"/>
  <c r="A111" i="3"/>
  <c r="A108" i="3"/>
  <c r="A115" i="3"/>
  <c r="A129" i="3"/>
  <c r="A110" i="3"/>
  <c r="A124" i="3"/>
  <c r="A123" i="3"/>
  <c r="A120" i="3"/>
  <c r="A122" i="3"/>
  <c r="A118" i="3"/>
  <c r="A128" i="3"/>
  <c r="A127" i="3"/>
  <c r="A121" i="3"/>
  <c r="A125" i="3"/>
  <c r="A116" i="3"/>
  <c r="A107" i="3"/>
  <c r="A105" i="3" l="1"/>
  <c r="Q131" i="3" s="1"/>
  <c r="F131" i="3" l="1"/>
  <c r="L131" i="3"/>
  <c r="E131" i="3"/>
  <c r="D16" i="4" s="1"/>
  <c r="O131" i="3"/>
  <c r="H131" i="3"/>
  <c r="K131" i="3"/>
  <c r="J131" i="3"/>
  <c r="D131" i="3"/>
  <c r="M131" i="3"/>
  <c r="N131" i="3"/>
  <c r="B131" i="3"/>
  <c r="P131" i="3"/>
  <c r="W17" i="4" s="1"/>
  <c r="J133" i="3" l="1"/>
  <c r="N133" i="3"/>
  <c r="W16" i="4" s="1"/>
  <c r="L133" i="3"/>
  <c r="D15" i="4" l="1"/>
</calcChain>
</file>

<file path=xl/comments1.xml><?xml version="1.0" encoding="utf-8"?>
<comments xmlns="http://schemas.openxmlformats.org/spreadsheetml/2006/main">
  <authors>
    <author>Harald Nitz</author>
  </authors>
  <commentList>
    <comment ref="C2" authorId="0">
      <text>
        <r>
          <rPr>
            <b/>
            <sz val="9"/>
            <color indexed="81"/>
            <rFont val="Tahoma"/>
            <family val="2"/>
          </rPr>
          <t xml:space="preserve">SYS33: Individualformel nicht ziehen
</t>
        </r>
      </text>
    </comment>
  </commentList>
</comments>
</file>

<file path=xl/comments2.xml><?xml version="1.0" encoding="utf-8"?>
<comments xmlns="http://schemas.openxmlformats.org/spreadsheetml/2006/main">
  <authors>
    <author>Harald Nitz</author>
    <author>Francesca Baroni</author>
    <author>Geier Nicole</author>
  </authors>
  <commentList>
    <comment ref="A87" authorId="0">
      <text>
        <r>
          <rPr>
            <b/>
            <sz val="9"/>
            <color indexed="81"/>
            <rFont val="Tahoma"/>
            <family val="2"/>
          </rPr>
          <t>SYS33:
neu hinzugefügt am 18.4.13</t>
        </r>
      </text>
    </comment>
    <comment ref="F159" authorId="1">
      <text>
        <r>
          <rPr>
            <b/>
            <sz val="9"/>
            <color indexed="81"/>
            <rFont val="Tahoma"/>
            <family val="2"/>
          </rPr>
          <t>Francesca Baroni:</t>
        </r>
        <r>
          <rPr>
            <sz val="9"/>
            <color indexed="81"/>
            <rFont val="Tahoma"/>
            <family val="2"/>
          </rPr>
          <t xml:space="preserve">
mit dem Begriff bin ich nicht 100% sicher</t>
        </r>
      </text>
    </comment>
    <comment ref="I160" authorId="2">
      <text>
        <r>
          <rPr>
            <b/>
            <sz val="8"/>
            <color indexed="81"/>
            <rFont val="Tahoma"/>
            <family val="2"/>
          </rPr>
          <t>Geier Nicole:</t>
        </r>
        <r>
          <rPr>
            <sz val="8"/>
            <color indexed="81"/>
            <rFont val="Tahoma"/>
            <family val="2"/>
          </rPr>
          <t xml:space="preserve">
habe leider keine Übersetzung für das Wort</t>
        </r>
      </text>
    </comment>
  </commentList>
</comments>
</file>

<file path=xl/comments3.xml><?xml version="1.0" encoding="utf-8"?>
<comments xmlns="http://schemas.openxmlformats.org/spreadsheetml/2006/main">
  <authors>
    <author>Harald Nitz</author>
  </authors>
  <commentList>
    <comment ref="L14" authorId="0">
      <text>
        <r>
          <rPr>
            <b/>
            <sz val="9"/>
            <color indexed="81"/>
            <rFont val="Tahoma"/>
            <family val="2"/>
          </rPr>
          <t>SYS33:
entspricht max Klappenbreite</t>
        </r>
      </text>
    </comment>
    <comment ref="A105" authorId="0">
      <text>
        <r>
          <rPr>
            <b/>
            <sz val="9"/>
            <color indexed="81"/>
            <rFont val="Tahoma"/>
            <family val="2"/>
          </rPr>
          <t>SYS33:
Bereich enthält Formeln</t>
        </r>
      </text>
    </comment>
  </commentList>
</comments>
</file>

<file path=xl/sharedStrings.xml><?xml version="1.0" encoding="utf-8"?>
<sst xmlns="http://schemas.openxmlformats.org/spreadsheetml/2006/main" count="3154" uniqueCount="1530">
  <si>
    <t>Kinvaro</t>
  </si>
  <si>
    <t>L-80 Klappenliftbeschlag</t>
  </si>
  <si>
    <t>Kraftspeicher A</t>
  </si>
  <si>
    <t>Lenkhebel Typ 1</t>
  </si>
  <si>
    <t>BestNr</t>
  </si>
  <si>
    <t>Kraftspeicher B</t>
  </si>
  <si>
    <t>Lenkhebel Typ 2</t>
  </si>
  <si>
    <t>F-20 Faltklappenbeschlag</t>
  </si>
  <si>
    <t>Aluminiumrahmenadapter Kinvaro F-20 Set</t>
  </si>
  <si>
    <t>Zubehör</t>
  </si>
  <si>
    <t>Lenkhebel Typ 3</t>
  </si>
  <si>
    <t>T-105 Stützklappenhalter</t>
  </si>
  <si>
    <t>Höhe</t>
  </si>
  <si>
    <t>Korpus</t>
  </si>
  <si>
    <t>Klappe</t>
  </si>
  <si>
    <t>Links</t>
  </si>
  <si>
    <t>Seite</t>
  </si>
  <si>
    <t>Set (L+R)</t>
  </si>
  <si>
    <t>Feder Standard</t>
  </si>
  <si>
    <t>var</t>
  </si>
  <si>
    <t>1 Stützklappenhalter</t>
  </si>
  <si>
    <t>Ausführung für</t>
  </si>
  <si>
    <t>Holzanbindung</t>
  </si>
  <si>
    <t>Feder Schwarz</t>
  </si>
  <si>
    <t>Stützklappenhalter Kinvaro T-105 Rechts</t>
  </si>
  <si>
    <t>Alu</t>
  </si>
  <si>
    <t>-</t>
  </si>
  <si>
    <t>2 Stützklappenhalter</t>
  </si>
  <si>
    <t>T-57 Drehklappenbeschlag</t>
  </si>
  <si>
    <t>einstellbar</t>
  </si>
  <si>
    <t>T-76 Drehklappenbeschlag</t>
  </si>
  <si>
    <t>Aluminiumrahmenadapter Kinvaro T-76 Set</t>
  </si>
  <si>
    <t>Alu (Rahmen 19mm)</t>
  </si>
  <si>
    <t>T-75 Drehklappenbeschlag</t>
  </si>
  <si>
    <t>T-71 Drehklappenbeschlag</t>
  </si>
  <si>
    <t>Feder weiß</t>
  </si>
  <si>
    <t>T-70 Drehklappenbeschlag</t>
  </si>
  <si>
    <t>Werkzeuglos</t>
  </si>
  <si>
    <t>ja</t>
  </si>
  <si>
    <t>T-65 Drehklappenbeschlag</t>
  </si>
  <si>
    <t>Feder gelb einseitig</t>
  </si>
  <si>
    <t>S-35 Schwenkklappenbeschlag</t>
  </si>
  <si>
    <t>Aluminiumrahmenadapter Kinvaro L-80 Set</t>
  </si>
  <si>
    <t>Kraftspeicher C</t>
  </si>
  <si>
    <t>Lenkhebel Typ 4</t>
  </si>
  <si>
    <t>Lenkhebel Typ 5</t>
  </si>
  <si>
    <t>Lenkhebel Typ 6</t>
  </si>
  <si>
    <t>Kraftspeicher D</t>
  </si>
  <si>
    <t>Lenkhebel Typ 7</t>
  </si>
  <si>
    <t>Sprache</t>
  </si>
  <si>
    <t>Deutsch</t>
  </si>
  <si>
    <t>Englisch</t>
  </si>
  <si>
    <t>Kraftspeicher E</t>
  </si>
  <si>
    <t>Aluminiumrahmenadapter Kinvaro T-71 Set</t>
  </si>
  <si>
    <t>Feder orange</t>
  </si>
  <si>
    <t>Feder gelb beidseitig</t>
  </si>
  <si>
    <t>Feder schwarz beidseitig</t>
  </si>
  <si>
    <t>Aluminiumrahmenadapter Kinvaro S-35 Set</t>
  </si>
  <si>
    <t>Materialien</t>
  </si>
  <si>
    <t>g/cm³</t>
  </si>
  <si>
    <t>Breite</t>
  </si>
  <si>
    <t>Tiefe</t>
  </si>
  <si>
    <t>Material</t>
  </si>
  <si>
    <t>Gewicht</t>
  </si>
  <si>
    <t>Volumen cm³</t>
  </si>
  <si>
    <t>gewählte Dichte</t>
  </si>
  <si>
    <t>kg</t>
  </si>
  <si>
    <t>Limit</t>
  </si>
  <si>
    <t>min</t>
  </si>
  <si>
    <t>max</t>
  </si>
  <si>
    <t>Dicke</t>
  </si>
  <si>
    <t>min  Klappengewicht</t>
  </si>
  <si>
    <t>max      incl. Griff</t>
  </si>
  <si>
    <t>Information</t>
  </si>
  <si>
    <t>Kraftmanagement</t>
  </si>
  <si>
    <t>von     Auflage</t>
  </si>
  <si>
    <t>bis</t>
  </si>
  <si>
    <t>BestNr Zubehör</t>
  </si>
  <si>
    <t>min   Breite</t>
  </si>
  <si>
    <t>max Breite</t>
  </si>
  <si>
    <t>Französich</t>
  </si>
  <si>
    <t>language</t>
  </si>
  <si>
    <t>width</t>
  </si>
  <si>
    <t>height</t>
  </si>
  <si>
    <t>weight</t>
  </si>
  <si>
    <t>material</t>
  </si>
  <si>
    <t>Aluminum frame adapter Kinvaro S-35 Set</t>
  </si>
  <si>
    <t>Aluminum frame adapter Kinvaro T-71 Set</t>
  </si>
  <si>
    <t>Aluminum frame adapter Kinvaro T-76 Set</t>
  </si>
  <si>
    <t>Aluminum frame adapter Kinvaro F-20 Set</t>
  </si>
  <si>
    <t>Aluminum frame adapter Kinvaro L-80 Set</t>
  </si>
  <si>
    <t>Aluminum (19mm frame)</t>
  </si>
  <si>
    <t>Aluminum</t>
  </si>
  <si>
    <t>Clip assembly, 3D adjustment</t>
  </si>
  <si>
    <t>yes</t>
  </si>
  <si>
    <t>wood connectivity</t>
  </si>
  <si>
    <t>adjustable</t>
  </si>
  <si>
    <t>left</t>
  </si>
  <si>
    <t>flap</t>
  </si>
  <si>
    <t>corpus</t>
  </si>
  <si>
    <t>KINVARO</t>
  </si>
  <si>
    <t>Höhe2</t>
  </si>
  <si>
    <t>Griff</t>
  </si>
  <si>
    <t>handle</t>
  </si>
  <si>
    <t>Rechengewicht</t>
  </si>
  <si>
    <t>Montage werkzeuglos</t>
  </si>
  <si>
    <t>assembly without tools</t>
  </si>
  <si>
    <t>Werkzeuglos2</t>
  </si>
  <si>
    <t>accessories</t>
  </si>
  <si>
    <t>no</t>
  </si>
  <si>
    <t>nein</t>
  </si>
  <si>
    <t>Glas</t>
  </si>
  <si>
    <t>overlay</t>
  </si>
  <si>
    <t>information</t>
  </si>
  <si>
    <t>power management</t>
  </si>
  <si>
    <t>Bestellnummer</t>
  </si>
  <si>
    <t>Order Number</t>
  </si>
  <si>
    <t>side</t>
  </si>
  <si>
    <t>L-80</t>
  </si>
  <si>
    <t>Klappenliftbeschlag</t>
  </si>
  <si>
    <t>Schwedisch</t>
  </si>
  <si>
    <t>Spanisch</t>
  </si>
  <si>
    <t>Italienisch</t>
  </si>
  <si>
    <t>Französisch</t>
  </si>
  <si>
    <t>Faltklappenbeschlag</t>
  </si>
  <si>
    <t>F-20</t>
  </si>
  <si>
    <t>• Für Oberschränke mit geteilten Fronten
• Besonders leichter Bewegungsablauf
• Für grifflose Fronten einsetzbar
• Integrierte, einstellbare Schließdämpfung</t>
  </si>
  <si>
    <t>S-35</t>
  </si>
  <si>
    <t>Schwenkklappenbeschlag</t>
  </si>
  <si>
    <t>folding flap fitting</t>
  </si>
  <si>
    <t>parallel lift flap fitting</t>
  </si>
  <si>
    <t>up-and-over flap fitting</t>
  </si>
  <si>
    <t>Drehklappenbeschlag</t>
  </si>
  <si>
    <t>T-65</t>
  </si>
  <si>
    <t>T-70</t>
  </si>
  <si>
    <t xml:space="preserve">• Überbaufähig
• Klappe hält in jedem Winkel von 45° bis 100° sicher offen
• Für leichte bis mittelschwere Klappen
• Integrierte, einstellbare Schließdämpfung
</t>
  </si>
  <si>
    <t>T-71</t>
  </si>
  <si>
    <t>• Überbaufähig
• Klappe hält in jedem Winkel von 45° bis 110° sicher offen
• SD-Direktverstellung der Front
• Clipmontage
• Großer Einsatzbereich
• Integrierte, einstellbare Schließdämpfung</t>
  </si>
  <si>
    <t>T-75</t>
  </si>
  <si>
    <t>• Überbaufähig
• Klappe hält in jedem Winkel von 45° bis 110° sicher offen
• Für schwere Klappen
• Integrierte, einstellbare Schließdämpfung</t>
  </si>
  <si>
    <t>T-76</t>
  </si>
  <si>
    <t>• Überbaufähig
• Klappe hält in jedem Winkel von 45° bis 110° sicher offen
• Integrierte, einstellbare Schließdämpfung
• SD-Verstellung der Front
• Clipmontage
• Für schwere Klappen</t>
  </si>
  <si>
    <t>T-57</t>
  </si>
  <si>
    <t>• Überbaufähig
• 75° oder 90° Öffnungswinkel einstellbar
• Für mittelgroße Klappen</t>
  </si>
  <si>
    <t>T-105</t>
  </si>
  <si>
    <t>• Überbaufähig
• Klappe hält in jedem Winkel von 45° bis 105° sicher offen
• Großer Einsatzbereich
• Kraftunterstützte Öffnungsfunktion</t>
  </si>
  <si>
    <t>Stützklappenhalter</t>
  </si>
  <si>
    <t>19 mm Alu</t>
  </si>
  <si>
    <t>Auflage in mm</t>
  </si>
  <si>
    <t>mm</t>
  </si>
  <si>
    <t>MDF-Werkstoff</t>
  </si>
  <si>
    <t>Spanplatte</t>
  </si>
  <si>
    <t>Fichte / Kiefer</t>
  </si>
  <si>
    <t>Länge</t>
  </si>
  <si>
    <t>Gewählter Beschlag ist für die gewünschten Maße nicht vorgesehen</t>
  </si>
  <si>
    <t>Gewählter Beschlag ist für das gewünschte Gewicht nicht vorgesehen</t>
  </si>
  <si>
    <t>Griff g</t>
  </si>
  <si>
    <t>Griff L</t>
  </si>
  <si>
    <t>Anbindung</t>
  </si>
  <si>
    <t>Holz</t>
  </si>
  <si>
    <t>Alu 13</t>
  </si>
  <si>
    <t>Alu 14</t>
  </si>
  <si>
    <t>Alu 16</t>
  </si>
  <si>
    <t>Alu 17</t>
  </si>
  <si>
    <t>Typ</t>
  </si>
  <si>
    <t>S_Alu13</t>
  </si>
  <si>
    <t>S_Alu14</t>
  </si>
  <si>
    <t>S_Alu16</t>
  </si>
  <si>
    <t>S_Alu17</t>
  </si>
  <si>
    <t>s_holz</t>
  </si>
  <si>
    <t>Beschlag</t>
  </si>
  <si>
    <t>Maße+Gewicht</t>
  </si>
  <si>
    <t>Holz+Alu</t>
  </si>
  <si>
    <t>passt</t>
  </si>
  <si>
    <t>benötigt wird</t>
  </si>
  <si>
    <t>passt2</t>
  </si>
  <si>
    <t>Lösungen mit</t>
  </si>
  <si>
    <t>Empfehlung</t>
  </si>
  <si>
    <t>Korpushöhe</t>
  </si>
  <si>
    <t>Klappengewicht</t>
  </si>
  <si>
    <t>Benötigt wird auch</t>
  </si>
  <si>
    <t>griff man</t>
  </si>
  <si>
    <t>griff auto</t>
  </si>
  <si>
    <t>klappe Auto/man</t>
  </si>
  <si>
    <t>http://www.grass.at/fileadmin/downloads/DEU/Bedienungsanleitungen/Kinvaro/Kinvaro_F-20_Einbauanleitung_2_Generation.pdf</t>
  </si>
  <si>
    <t>http://www.grass.at/fileadmin/downloads/DEU/Bedienungsanleitungen/Kinvaro/Kinvaro_S-35_Einbauanleitung_2_Generation.pdf</t>
  </si>
  <si>
    <t>http://www.grass.at/fileadmin/downloads/DEU/Bedienungsanleitungen/Kinvaro/Kinvaro_L-80_Einbauanleitung_2._Generation.pdf</t>
  </si>
  <si>
    <t>http://www.grass.at</t>
  </si>
  <si>
    <t>overlay in mm</t>
  </si>
  <si>
    <t>19 mm Aluminium</t>
  </si>
  <si>
    <t>design for</t>
  </si>
  <si>
    <t>length</t>
  </si>
  <si>
    <t>solutions with</t>
  </si>
  <si>
    <t>program</t>
  </si>
  <si>
    <t>fitting</t>
  </si>
  <si>
    <t>is also required</t>
  </si>
  <si>
    <t>recommendation</t>
  </si>
  <si>
    <t>Lösung mit</t>
  </si>
  <si>
    <t>solution with</t>
  </si>
  <si>
    <t>Kinvaro Produktfinder realisiert von SYS33 EDV Dienstleistung im Auftrag von GRASS GmbH Reinheim</t>
  </si>
  <si>
    <t>T-65 lift-up ﬂap ﬁtting</t>
  </si>
  <si>
    <t xml:space="preserve">F-20 folding ﬂap ﬁtting </t>
  </si>
  <si>
    <t>L-80 parallel lift ﬂap ﬁtting</t>
  </si>
  <si>
    <t>T-71 lift-up ﬂap ﬁtting</t>
  </si>
  <si>
    <t>T-70 lift-up ﬂap ﬁtting</t>
  </si>
  <si>
    <t>S-35 up-and-over ﬂap ﬁtting</t>
  </si>
  <si>
    <t>T-75 lift-up ﬂap ﬁtting</t>
  </si>
  <si>
    <t>T-76 lift-up ﬂap ﬁtting</t>
  </si>
  <si>
    <t>T-57 lift-up ﬂap ﬁtting</t>
  </si>
  <si>
    <t>T-105 ﬂap stay</t>
  </si>
  <si>
    <t>ﬂap stay</t>
  </si>
  <si>
    <t>lift-up ﬂap ﬁtting</t>
  </si>
  <si>
    <t>• Allows additional cabinet installation above
• Opening angle adjustable to 75° or 90°
• For medium-sized ﬂaps</t>
  </si>
  <si>
    <t>• For wall cabinets with split fronts
• Extremely smooth movement
• Suitable for handle-free fronts
• Integrated adjustable closing damper</t>
  </si>
  <si>
    <t>F-20 Klaﬀbeslag för viklucka</t>
  </si>
  <si>
    <t>•  För överskåp med delade fronter
•  Speciellt lätt öppning
•  Lämplig för handtagslösa fronter
•  Integrerad justerbar stängningsdämpning</t>
  </si>
  <si>
    <t>S-35 Svänglucksbeslag</t>
  </si>
  <si>
    <t>T-65 Vridlucksbeslag</t>
  </si>
  <si>
    <t>•  Tillåter påbyggnad med överskåp
•  Fronten hålls säkert på plats i varje vinkel från 45° till 100°
•  För lätta och medeltunga luckor
•  Integrerad justerbar stängningsdämpning</t>
  </si>
  <si>
    <t>T-70 Vridlucksbeslag</t>
  </si>
  <si>
    <t>•  Tillåter påbyggnad med överskåp
•  Fronten hålls säkert på plats i varje vinkel från 45° till 110°
•  Integrerad justerbar stängningsdämpning
•  Omfattande användningsområde</t>
  </si>
  <si>
    <t>T-71 Vridlucksbeslag</t>
  </si>
  <si>
    <t>T-75 Vridlucksbeslag</t>
  </si>
  <si>
    <t>•  Tillåter påbyggnad med överskåp
•  Fronten hålls säkert på plats i varje vinkel från 45° till 110° 60
•  För tunga luckor
•  Integrerad justerbar stängningsdämpning</t>
  </si>
  <si>
    <t>T-76 Vridlucksbeslag</t>
  </si>
  <si>
    <t>•  Tillåter påbyggnad med överskåp
•  Fronten hålls säkert på plats i varje vinkel från 45° till 110°
•  Integrerad justerbar stängningsdämpning 
•  3-D inställning av fronten
•  Snäpp montering av fronten
•  För tunga luckor</t>
  </si>
  <si>
    <t>T-57 Vridlucksbeslag</t>
  </si>
  <si>
    <t>•  Tillåter påbyggnad med överskåp
•  Inställbar öppningsvinkel 75° eller 90°
•  För medelstora luckor</t>
  </si>
  <si>
    <t>T-105 Klaﬀhållare</t>
  </si>
  <si>
    <t>•  Tillåter påbyggnad med överskåp
•  Fronten hålls säkert på plats i varje vinkel från 45° till 105°
•  Omfattande användningsområde
•  Lätt öppning via fjädermekanism</t>
  </si>
  <si>
    <t>Klaﬀhållare</t>
  </si>
  <si>
    <t>Vridlucksbeslag</t>
  </si>
  <si>
    <t>Lyftbeslag</t>
  </si>
  <si>
    <t>Klaﬀbeslag för viklucka</t>
  </si>
  <si>
    <t>L-80 Accessorio per ante pieghevoli</t>
  </si>
  <si>
    <t xml:space="preserve">F-20 Sistema per ante pieghevoli </t>
  </si>
  <si>
    <t>•  Per elementi pensili con frontali divisi
•  Movimento particolarmente leggero
•  Utilizzabili per frontali senza maniglie
•  Chiusura frenata regolabile, integrata</t>
  </si>
  <si>
    <t>Sistema per ante pieghevoli</t>
  </si>
  <si>
    <t>Accessorio per ante pieghevoli</t>
  </si>
  <si>
    <t>S-35 Cerniera per ante a ribalta Kinvaro</t>
  </si>
  <si>
    <t>Cerniera per ante a ribalta Kinvaro</t>
  </si>
  <si>
    <t>•  Si orienta lungo il corpo del mobile
•  Adatto a mobili con elettrodomestici, cornici e faretti
•  Movimento estremamente leggero
•  Elevata stabilità
•  Chiusura frenata regolabile, integrata</t>
  </si>
  <si>
    <t>Cerniera per ante a battente</t>
  </si>
  <si>
    <t>T-65 Cerniera per ante a battente</t>
  </si>
  <si>
    <t>T-70 Cerniera per ante a battente</t>
  </si>
  <si>
    <t>T-71 Cerniera per ante a battente</t>
  </si>
  <si>
    <t>T-75 Cerniera per ante a battente</t>
  </si>
  <si>
    <t>T-76 Cerniera per ante a battente</t>
  </si>
  <si>
    <t>T-57 Cerniera per ante a battente</t>
  </si>
  <si>
    <t>• Possibilità di sovrapporre altri elementi
• Angolo di apertura regolabile, a 75° o 90°
• Per ante a ribalta medio/grandi</t>
  </si>
  <si>
    <t xml:space="preserve">Supporto per ante a ribalta </t>
  </si>
  <si>
    <t xml:space="preserve">T-105 Supporto per ante a ribalta </t>
  </si>
  <si>
    <t xml:space="preserve">Ferrure pour abattant pliant </t>
  </si>
  <si>
    <t xml:space="preserve">F-20 Ferrure pour abattant pliant </t>
  </si>
  <si>
    <t>• Pour les éléments hauts à deux façades
• Mouvement particulièrement doux
• Convient aux façades sans poignée
• Amortissement de fermeture intégré et réglable</t>
  </si>
  <si>
    <t xml:space="preserve">Ferrure relevante pour abattant </t>
  </si>
  <si>
    <t xml:space="preserve">L-80 Ferrure relevante pour abattant </t>
  </si>
  <si>
    <t xml:space="preserve">Ferrure pour abattants pivotants </t>
  </si>
  <si>
    <t xml:space="preserve">S-35 Ferrure pour abattants pivotants </t>
  </si>
  <si>
    <t>• Pivote au-dessus du caisson
• Convient aux armoires dotées de corniches, de panneaux
   de ﬁnition débordants et de luminaires décoratifs
• Mouvement extrêmement doux
• Excellente stabilité
• Amortissement de fermeture intégré et réglable</t>
  </si>
  <si>
    <t xml:space="preserve">Ferrure pour systèmes d’abattants s’ouvrant vers le haut </t>
  </si>
  <si>
    <t xml:space="preserve">T-65 Ferrure pour systèmes d’abattants s’ouvrant vers le haut </t>
  </si>
  <si>
    <t xml:space="preserve">T-70 Ferrure pour systèmes d’abattants s’ouvrant vers le haut </t>
  </si>
  <si>
    <t xml:space="preserve">T-71 Ferrure pour systèmes d’abattants s’ouvrant vers le haut </t>
  </si>
  <si>
    <t xml:space="preserve">T-75 Ferrure pour systèmes d’abattants s’ouvrant vers le haut </t>
  </si>
  <si>
    <t xml:space="preserve">T-76 Ferrure pour systèmes d’abattants s’ouvrant vers le haut </t>
  </si>
  <si>
    <t xml:space="preserve">T-57 Ferrure pour systèmes d’abattants s’ouvrant vers le haut </t>
  </si>
  <si>
    <t>• Permet l’ajout d’une autre armoire en hauteur
• Angle d’ouverture réglable sur 75°ou 90°
• Pour abattants de taille moyenne</t>
  </si>
  <si>
    <t>Support d’abattant</t>
  </si>
  <si>
    <t>T-105 Support d’abattant</t>
  </si>
  <si>
    <t>• Überbaufähig
• Klappe hält in jedem Winkel von 45° bis 110° sicher offen
• Integrierte, einstellbare Schließdämpfung
• Großer Einsatzbereich</t>
  </si>
  <si>
    <t>• Possibilità di sovrapporre altri elementi
• L’anta a ribalta si mantiene aperta ad ogni angolazione da 45° a 110°
• Per ante a ribalta pesanti
• Chiusura frenata regolabile, integrata</t>
  </si>
  <si>
    <t>Bisagra para puertas plegables</t>
  </si>
  <si>
    <t>F-20 Bisagra para puertas plegables</t>
  </si>
  <si>
    <t>• Para armarios con frentes divididos
• Movimiento especialmente ligero
• Utilizable para frentes sin tirador
• Amortiguación integrada regulable</t>
  </si>
  <si>
    <t>Bisagra para puertas elevables en paralelo</t>
  </si>
  <si>
    <t>L-80 Bisagra para puertas elevables en paralelo</t>
  </si>
  <si>
    <t>• Se abre en paralelo al armario
• Apta para armarios con aparatos y armarios con cornisas, 
   molduras o luces
• Movimiento extremadamente sencillo
• Gran estabilidad
• Amortiguación integrada regulable</t>
  </si>
  <si>
    <t>Bisagra para puertas oscilantes</t>
  </si>
  <si>
    <t>S-35 Bisagra para puertas oscilantes</t>
  </si>
  <si>
    <t>Bisagra para puertas elevables</t>
  </si>
  <si>
    <t>T-65 Bisagra para puertas elevables</t>
  </si>
  <si>
    <t>T-70 Bisagra para puertas elevables</t>
  </si>
  <si>
    <t>T-71 Bisagra para puertas elevables</t>
  </si>
  <si>
    <t>T-75 Bisagra para puertas elevables</t>
  </si>
  <si>
    <t>T-76 Bisagra para puertas elevables</t>
  </si>
  <si>
    <t>T-57 Bisagra para puertas elevables</t>
  </si>
  <si>
    <t>• Apta para aplicaciones con elementos superiores
• La puerta se mantiene abierta en cualquier posición, 
   en ángulos entre 45° y 110°
• Regulación directa del frente tridimensional
• Montaje tipo clip
• Campo de aplicación muy amplio
• Amortiguación integrada regulable</t>
  </si>
  <si>
    <t>• Apta para aplicaciones con elementos superiores
• La puerta se mantiene abierta en cualquier posición,
   en ángulos entre 45° y 110°
• Para puertas pesadas
• Amortiguación integrada regulable</t>
  </si>
  <si>
    <t>• Apta para aplicaciones con elementos superiores
• La puerta se mantiene abierta en cualquier posición,
   en ángulos entre 45° y 110°
• Amortiguación integrada regulable
• Regulación directa del frente tridimensional
• Montaje tipo clip
• Para puertas pesadas</t>
  </si>
  <si>
    <t>• Apta para aplicaciones con elementos superiores
• Ángulo de apertura regulable a 75° o 90°
• Para puertas de tamaño medio</t>
  </si>
  <si>
    <t xml:space="preserve">Compás retenedor </t>
  </si>
  <si>
    <t xml:space="preserve">T-105 Compás retenedor </t>
  </si>
  <si>
    <t>• Apta para aplicaciones con elementos superiores
• La puerta se mantiene abierta en cualquier posición,
   en ángulos entre 45° y 105°
• Campo de aplicación muy amplio
• Función de apertura suplementaria</t>
  </si>
  <si>
    <t>Français</t>
  </si>
  <si>
    <t>Italiano</t>
  </si>
  <si>
    <t>Español</t>
  </si>
  <si>
    <t>Italienska</t>
  </si>
  <si>
    <t>Franska</t>
  </si>
  <si>
    <t>trä-anslutning</t>
  </si>
  <si>
    <t>19 mm aluminium</t>
  </si>
  <si>
    <t>Design för</t>
  </si>
  <si>
    <t>lösningar</t>
  </si>
  <si>
    <t>lösning med</t>
  </si>
  <si>
    <t>Behövs också</t>
  </si>
  <si>
    <t>rekommendation</t>
  </si>
  <si>
    <t>vänster</t>
  </si>
  <si>
    <t>Ja</t>
  </si>
  <si>
    <t>ingen</t>
  </si>
  <si>
    <t>tillbehör</t>
  </si>
  <si>
    <t>monteringsverktyg</t>
  </si>
  <si>
    <t>Edition</t>
  </si>
  <si>
    <t>power Management</t>
  </si>
  <si>
    <t>sidan</t>
  </si>
  <si>
    <t>Klämaggregatet, 3D inställning</t>
  </si>
  <si>
    <t>MDF material</t>
  </si>
  <si>
    <t>spånskiva</t>
  </si>
  <si>
    <t>glas</t>
  </si>
  <si>
    <t>Guide lever type 1</t>
  </si>
  <si>
    <t>Guide lever type 2</t>
  </si>
  <si>
    <t>Guide lever type 3</t>
  </si>
  <si>
    <t>Guide lever type 4</t>
  </si>
  <si>
    <t>Guide lever type 5</t>
  </si>
  <si>
    <t>Guide lever type 6</t>
  </si>
  <si>
    <t>Guide lever type 7</t>
  </si>
  <si>
    <t>Spring A</t>
  </si>
  <si>
    <t>Spring B</t>
  </si>
  <si>
    <t>Spring C</t>
  </si>
  <si>
    <t>Spring D</t>
  </si>
  <si>
    <t>Spring E</t>
  </si>
  <si>
    <t>Spring on both sides yellow</t>
  </si>
  <si>
    <t>Spring on one side yellow</t>
  </si>
  <si>
    <t>Spring on both sides black</t>
  </si>
  <si>
    <t>Auflage*</t>
  </si>
  <si>
    <t>Selected fitting  is not for the desired measurements provided</t>
  </si>
  <si>
    <t>Selected fitting is not for the desired weight provided</t>
  </si>
  <si>
    <t>Selezionata non è adatta per le misure desiderate disponibile</t>
  </si>
  <si>
    <t>Seleccionada no es apropiada para las mediciones deseadas siempre</t>
  </si>
  <si>
    <t>Sélectionné ne convient pas pour les mesures souhaitées fourni</t>
  </si>
  <si>
    <t>Sélectionné n'est pas approprié pour le poids désiré à condition</t>
  </si>
  <si>
    <t>Selezionato non è adatto per il peso desiderato disponibile</t>
  </si>
  <si>
    <t>Seleccionada no es apropiada para el peso deseado siempre</t>
  </si>
  <si>
    <t>Anglais</t>
  </si>
  <si>
    <t>Inglés</t>
  </si>
  <si>
    <t>legno di connessione</t>
  </si>
  <si>
    <t>Raccordement bois</t>
  </si>
  <si>
    <t>Wood conexión</t>
  </si>
  <si>
    <t>19 millimetri in alluminio</t>
  </si>
  <si>
    <t>19 mm en aluminium</t>
  </si>
  <si>
    <t>19 mm de aluminio</t>
  </si>
  <si>
    <t>design per</t>
  </si>
  <si>
    <t>design pour</t>
  </si>
  <si>
    <t>Diseño para</t>
  </si>
  <si>
    <t>Tenendo in mm</t>
  </si>
  <si>
    <t>Gardant en mm</t>
  </si>
  <si>
    <t>Teniendo en mm</t>
  </si>
  <si>
    <t>Flap</t>
  </si>
  <si>
    <t>Soluzioni</t>
  </si>
  <si>
    <t>solutions</t>
  </si>
  <si>
    <t>Soluciones</t>
  </si>
  <si>
    <t>Solución con</t>
  </si>
  <si>
    <t>solution avec</t>
  </si>
  <si>
    <t>Soluzione con</t>
  </si>
  <si>
    <t>programma</t>
  </si>
  <si>
    <t>programme</t>
  </si>
  <si>
    <t>programa</t>
  </si>
  <si>
    <t>altura del cuerpo</t>
  </si>
  <si>
    <t>hauteur du corps</t>
  </si>
  <si>
    <t>altezza corpo</t>
  </si>
  <si>
    <t>Flap peso</t>
  </si>
  <si>
    <t>poids d'abattant</t>
  </si>
  <si>
    <t>adecuado</t>
  </si>
  <si>
    <t>essayage</t>
  </si>
  <si>
    <t>adattamento</t>
  </si>
  <si>
    <t>È necessaria anche</t>
  </si>
  <si>
    <t>Il est également nécessaire</t>
  </si>
  <si>
    <t>También se necesita</t>
  </si>
  <si>
    <t>recomendación</t>
  </si>
  <si>
    <t>recommandation</t>
  </si>
  <si>
    <t>raccomandazione</t>
  </si>
  <si>
    <t>informazioni</t>
  </si>
  <si>
    <t>informations</t>
  </si>
  <si>
    <t>información</t>
  </si>
  <si>
    <t>No.</t>
  </si>
  <si>
    <t>Non.</t>
  </si>
  <si>
    <t>pagina</t>
  </si>
  <si>
    <t>page</t>
  </si>
  <si>
    <t>página</t>
  </si>
  <si>
    <t>Power Management</t>
  </si>
  <si>
    <t>gestion de l'alimentation</t>
  </si>
  <si>
    <t>Gestión de energía</t>
  </si>
  <si>
    <t>Set (L + R)</t>
  </si>
  <si>
    <t>Sinistra</t>
  </si>
  <si>
    <t>gauche</t>
  </si>
  <si>
    <t>Izquierda</t>
  </si>
  <si>
    <t>Matériau MDF</t>
  </si>
  <si>
    <t>Panneaux de particules</t>
  </si>
  <si>
    <t>Chipboard</t>
  </si>
  <si>
    <t>Spruce / Pine</t>
  </si>
  <si>
    <t>Pin / Epicéa</t>
  </si>
  <si>
    <t>Picea / Pino</t>
  </si>
  <si>
    <t>vetro</t>
  </si>
  <si>
    <t>verre</t>
  </si>
  <si>
    <t>vidrio</t>
  </si>
  <si>
    <t>Länkarm Typ 1</t>
  </si>
  <si>
    <t>Länkarm Typ 2</t>
  </si>
  <si>
    <t>Länkarm Typ 3</t>
  </si>
  <si>
    <t>Länkarm Typ 4</t>
  </si>
  <si>
    <t>Länkarm Typ 5</t>
  </si>
  <si>
    <t>Länkarm Typ 6</t>
  </si>
  <si>
    <t>Länkarm Typ 7</t>
  </si>
  <si>
    <t>Leva della guida Tipo 1</t>
  </si>
  <si>
    <t>Leva della guida Tipo 2</t>
  </si>
  <si>
    <t>Leva della guida Tipo 3</t>
  </si>
  <si>
    <t>Leva della guida Tipo 4</t>
  </si>
  <si>
    <t>Leva della guida Tipo 5</t>
  </si>
  <si>
    <t>Leva della guida Tipo 6</t>
  </si>
  <si>
    <t>Leva della guida Tipo 7</t>
  </si>
  <si>
    <t>Levier de guidage Type 1</t>
  </si>
  <si>
    <t>Levier de guidage Type 2</t>
  </si>
  <si>
    <t>Levier de guidage Type 3</t>
  </si>
  <si>
    <t>Levier de guidage Type 4</t>
  </si>
  <si>
    <t>Levier de guidage Type 5</t>
  </si>
  <si>
    <t>Levier de guidage Type 6</t>
  </si>
  <si>
    <t>Levier de guidage Type 7</t>
  </si>
  <si>
    <t>Palanca de dirección tipo 1</t>
  </si>
  <si>
    <t>Palanca de dirección tipo 2</t>
  </si>
  <si>
    <t>Palanca de dirección tipo 3</t>
  </si>
  <si>
    <t>Palanca de dirección tipo 4</t>
  </si>
  <si>
    <t>Palanca de dirección tipo 5</t>
  </si>
  <si>
    <t>Palanca de dirección tipo 6</t>
  </si>
  <si>
    <t>Palanca de dirección tipo 7</t>
  </si>
  <si>
    <t>Klaﬀhållare A</t>
  </si>
  <si>
    <t>Klaﬀhållare B</t>
  </si>
  <si>
    <t>Klaﬀhållare C</t>
  </si>
  <si>
    <t>Klaﬀhållare D</t>
  </si>
  <si>
    <t>Klaﬀhållare E</t>
  </si>
  <si>
    <t>Accumulatore A</t>
  </si>
  <si>
    <t>Accumulatore B</t>
  </si>
  <si>
    <t>Accumulatore C</t>
  </si>
  <si>
    <t>Accumulatore D</t>
  </si>
  <si>
    <t>Accumulatore E</t>
  </si>
  <si>
    <t>Accum. de force A</t>
  </si>
  <si>
    <t>Accum. de force B</t>
  </si>
  <si>
    <t>Accum. de force C</t>
  </si>
  <si>
    <t>Accum. de force D</t>
  </si>
  <si>
    <t>Accum. de force E</t>
  </si>
  <si>
    <t>Muelle A</t>
  </si>
  <si>
    <t>Muelle B</t>
  </si>
  <si>
    <t>Muelle C</t>
  </si>
  <si>
    <t>Muelle D</t>
  </si>
  <si>
    <t>Muelle E</t>
  </si>
  <si>
    <t>Fjäder standard</t>
  </si>
  <si>
    <t>Molla standard</t>
  </si>
  <si>
    <t>Ressort standard</t>
  </si>
  <si>
    <t>Muelle estándar</t>
  </si>
  <si>
    <t>Muelle negro</t>
  </si>
  <si>
    <t>Ressort noir</t>
  </si>
  <si>
    <t>Molla nera</t>
  </si>
  <si>
    <t>Fjäder svart</t>
  </si>
  <si>
    <t>Spring, white</t>
  </si>
  <si>
    <t xml:space="preserve">Spring, orange </t>
  </si>
  <si>
    <t>Spring, black</t>
  </si>
  <si>
    <t>Spring standard</t>
  </si>
  <si>
    <t>Fjäder vit</t>
  </si>
  <si>
    <t>Fjäder orange</t>
  </si>
  <si>
    <t>Molla bianca</t>
  </si>
  <si>
    <t>Molla arancione</t>
  </si>
  <si>
    <t>Ressort blanc</t>
  </si>
  <si>
    <t xml:space="preserve">Ressort orange </t>
  </si>
  <si>
    <t>Muelle blanco</t>
  </si>
  <si>
    <t>Muelle naranja</t>
  </si>
  <si>
    <t xml:space="preserve">Fjäder en sida gul </t>
  </si>
  <si>
    <t>Fjäder båda sidor gul</t>
  </si>
  <si>
    <t>Fjäder båda sidor svart</t>
  </si>
  <si>
    <t>Molla su un lato gialla</t>
  </si>
  <si>
    <t>Molla su due lati gialla</t>
  </si>
  <si>
    <t>Molla su due lati nera</t>
  </si>
  <si>
    <t xml:space="preserve">Ressort d’un côté </t>
  </si>
  <si>
    <t xml:space="preserve">Ressort des deux côtés jaune </t>
  </si>
  <si>
    <t xml:space="preserve">Ressort des deux côtés noir </t>
  </si>
  <si>
    <t>Muelle unilateral amarillo</t>
  </si>
  <si>
    <t>Muelle bilateral amarillo</t>
  </si>
  <si>
    <t>Muelle bilateral negro</t>
  </si>
  <si>
    <t>1 ﬂap stay</t>
  </si>
  <si>
    <t>2 ﬂap stays</t>
  </si>
  <si>
    <t>1 klaﬀhållare</t>
  </si>
  <si>
    <t>2 klaﬀhållare</t>
  </si>
  <si>
    <t xml:space="preserve">1 supporto per ante a ribalta </t>
  </si>
  <si>
    <t xml:space="preserve">2 supporti per ante a ribalta </t>
  </si>
  <si>
    <t xml:space="preserve">1 supports d’abattant </t>
  </si>
  <si>
    <t xml:space="preserve">2 supports d’abattant </t>
  </si>
  <si>
    <t>1 compases retenedores</t>
  </si>
  <si>
    <t>2 compases retenedores</t>
  </si>
  <si>
    <t>*Clipmontage, 3D Einstellung*</t>
  </si>
  <si>
    <t xml:space="preserve">Set adaptador para puertas con marco de aluminio Kinvaro T-71 </t>
  </si>
  <si>
    <t xml:space="preserve">Set adaptador para puertas con marco de aluminio Kinvaro T-76 </t>
  </si>
  <si>
    <t>Set adaptador para puertas con marco de aluminio Kinvaro F-20</t>
  </si>
  <si>
    <t xml:space="preserve">Set adaptador para puertas con marco de aluminio Kinvaro L-80 </t>
  </si>
  <si>
    <t>Set adaptador para puertas con marco de aluminio Kinvaro S-35</t>
  </si>
  <si>
    <t xml:space="preserve">Adaptateur pour cadre aluminium kit Kinvaro T-71 </t>
  </si>
  <si>
    <t xml:space="preserve">Adaptateur pour cadre aluminium kit Kinvaro L-80 </t>
  </si>
  <si>
    <t>Adaptateur pour cadre aluminium kit Kinvaro F-20</t>
  </si>
  <si>
    <t xml:space="preserve">Adaptateur pour cadre aluminium kit Kinvaro T-76 </t>
  </si>
  <si>
    <t>Adaptateur pour cadre aluminium kit Kinvaro S-35</t>
  </si>
  <si>
    <t>Set di adattatori per telai in alluminio Kinvaro T-71</t>
  </si>
  <si>
    <t>Set di adattatori per telai in alluminio Kinvaro L-80</t>
  </si>
  <si>
    <t>Set di adattatori per telai in alluminio Kinvaro F-20</t>
  </si>
  <si>
    <t>Set di adattatori per telai in alluminio Kinvaro T-76</t>
  </si>
  <si>
    <t>Set di adattatori per telai in alluminio Kinvaro S-35</t>
  </si>
  <si>
    <t>Aluminiumramadapter Kinvaro T-71 Set</t>
  </si>
  <si>
    <t>Aluminiumramadapter Kinvaro L-80 Set</t>
  </si>
  <si>
    <t>Aluminiumramadapter Kinvaro F-20 Set</t>
  </si>
  <si>
    <t>Aluminiumramadapter Kinvaro T-76 Set</t>
  </si>
  <si>
    <t>Aluminiumramadapter Kinvaro S-35 Set</t>
  </si>
  <si>
    <t>Fap stay Kinvaro T-105 right</t>
  </si>
  <si>
    <t>Klaﬀhållare Kinvaro T-105 höger</t>
  </si>
  <si>
    <t>supporto per ante a ribalta Kinvaro T-105 destra</t>
  </si>
  <si>
    <t>supports d’abattant Kinvaro T-105 droit</t>
  </si>
  <si>
    <t>compases retenedores Kinvaro T-105 derecho</t>
  </si>
  <si>
    <t>ajustable</t>
  </si>
  <si>
    <t>réglable</t>
  </si>
  <si>
    <t>regolabile</t>
  </si>
  <si>
    <t>justerbar</t>
  </si>
  <si>
    <t>• S’ouvre parallèlement au caisson
• Convient aux armoires dotées de corniches, de panneaux 
   de ﬁnition débordants et de luminaires décoratifs
• Mouvement extrêmement doux
• Excellente stabilité
• Amortissement de fermeture intégré et réglable</t>
  </si>
  <si>
    <t>• Permet l’ajout d’une autre armoire en hauteur
• L’abattant reste ouvert en toute sécurité à partir d’un angle 
   de 45°à 100° 
• Pour abattants légers ou moyennement lourds
• Amortissement de fermeture intégré et réglable</t>
  </si>
  <si>
    <t>• Permet l’ajout d’une autre armoire en hauteur
• L’abattant reste ouvert en toute sécurité à partir d’un angle 
   de 45°à 110°
• Amortissement de fermeture intégré et réglable
• Vaste domaine d’application</t>
  </si>
  <si>
    <t>• Permet l’ajout d’une autre armoire en hauteur
• L’abattant reste ouvert en toute sécurité à partir d’un angle
   de 45°à 110°
• Réglage direct 3D de la façade
• Montage par clip
• Vaste domaine d’application
• Amortissement de fermeture intégré et réglable</t>
  </si>
  <si>
    <t>• Permet l’ajout d’une autre armoire en hauteur
• L’abattant reste ouvert en toute sécurité à partir d’un angle
   de 45°à 110°
• Pour abattants lourds
• Amortissement de fermeture intégré et réglable</t>
  </si>
  <si>
    <t>• Permet l’ajout d’une autre armoire en hauteur
• L’abattant reste ouvert en toute sécurité à partir d’un angle 
   de 45°à 105°
• Vaste domaine d’application
• Fonction d’ouverture assistée</t>
  </si>
  <si>
    <t>• Permet l’ajout d’une autre armoire en hauteur
• L’abattant reste ouvert en toute sécurité à partir d’un angle 
   de 45°à 110°
• Amortissement de fermeture intégré et réglable
• Réglage 3D de la façade
• Montage par clip
• Pour abattants lourds</t>
  </si>
  <si>
    <t>• Öffnet parallel zum Korpus
• Geeignet für Geräteschränke und Schränke mit Kranzleisten, 
   Gesimsen oder Aufsatzleuchten
• Äußerst leichter Bewegungsablauf
• Hohe Stabilität
• Integrierte, einstellbare Schließdämpfung</t>
  </si>
  <si>
    <t>• Schwenkt über den Korpus
• Geeignet für Schränke mit Kranzleisten, Gesimsen oder 
   Aufsatzleuchten
• Äußerst leichter Bewegungsablauf
• Hohe Stabilität
• Integrierte, einstellbare Schließdämpfung</t>
  </si>
  <si>
    <t>•  Si apre parallelamente al mobile
•  Adatto a mobili con elettrodomestici e mobili con listelli 
    a corona,  cornici o faretti
•  Movimento estremamente leggero
•  Elevata stabilità
•  Chiusura frenata regolabile, integrata</t>
  </si>
  <si>
    <t>•  Possibilità di sovrapporre altri elementi
•  L’anta a ribalta si mantiene aperta 
     ad ogni angolazione da 45° a 100°
•  Per ante a ribalta leggere/medio pesanti
•  Chiusura frenata regolabile, integrata</t>
  </si>
  <si>
    <t>•  Possibilità di sovrapporre altri elementi
•  L’anta a ribalta si mantiene aperta ad ogni angolazione 
     da 45° a 110°
•  Chiusura frenata regolabile, integrata
•  Vasto campo di applicazione</t>
  </si>
  <si>
    <t>• Possibilità di sovrapporre altri elementi
• L’anta a ribalta si mantiene aperta ad ogni angolazione
    da 45° a 110°
• Regolazione diretta tridimensionale del frontale
• Montaggio con clip
• Vasto campo di applicazione
• Chiusura frenata regolabile, integrata</t>
  </si>
  <si>
    <t>• Possibilità di sovrapporre altri elementi
• L’anta a ribalta si mantiene aperta ad ogni angolazione 
    da 45° a 105°
• Vasto campo di applicazione
• Funzione di apertura servo-asservita</t>
  </si>
  <si>
    <t>• Possibilità di sovrapporre altri elementi
• L’anta a ribalta si mantiene aperta ad ogni angolazione
   da 45° a 110°
• Chiusura frenata regolabile, integrata
• Regolazione tridimensionale del frontale
• Montaggio con clip
• Per ante a ribalta pesanti</t>
  </si>
  <si>
    <t>• Oscila por encima del armario
• Apta para armarios con aparatos y armarios con cornisas, 
   molduras o luces
• Movimiento extremadamente sencillo
• Gran estabilidad
• Amortiguación integrada regulable</t>
  </si>
  <si>
    <t>• Apta para aplicaciones con elementos superiores
• La puerta se mantiene abierta en cualquier posición, en 
   ángulos entre 45° y 100°
• Para puertas ligeras hasta de peso medio
• Amortiguación integrada regulable</t>
  </si>
  <si>
    <t>• Apta para aplicaciones con elementos superiores
• La puerta se mantiene abierta en cualquier posición, en
    ángulos entre 45° y 110°
• Amortiguación integrada regulable
• Campo de aplicación muy amplio</t>
  </si>
  <si>
    <t>• Swings above the cabinet
• Suitable for cabinets with cornices, pelmets or attached lights
• Extremely smooth movement
• Extremely strong
• Integrated adjustable closing damper</t>
  </si>
  <si>
    <t>• Allows additional cabinet installation above
•  Holds ﬂap securely open at any angle between between 
    45° and 110°
• Direct, 3-dimensional adjustment of front 
• Clip-on installation
• Wide range of applications
• Integrated adjustable closing damper</t>
  </si>
  <si>
    <t>• Allows additional cabinet installation above
•  Holds ﬂap securely open at any angle between between 
    45° and 105°
• Wide range of applications
• Spring-supported opening function</t>
  </si>
  <si>
    <t>•  Svänger upp över stommen
•  Lämpligt för skåp med krönlister, kopplingsbeslag 
    eller belysning
•  Speciellt lätt öppning
•  Hög stabilitet
•  Integrerad justerbar stängningsdämpning</t>
  </si>
  <si>
    <t>• Allows additional cabinet installation above
• Holds ﬂap securely open at any angle between between 
    45° and 110°
• Integrated adjustable closing damper
• 3-dimensional adjustment of front
• Clip-on installation
• For heavy ﬂaps</t>
  </si>
  <si>
    <t>• Allows additional cabinet installation above
• Holds ﬂap securely open at any angle between between 
   45° and 110°
• For heavy ﬂaps
• Integrated adjustable closing damper</t>
  </si>
  <si>
    <t>• Allows additional cabinet installation above
• Holds ﬂap securely open at any angle between between 
    45° and 110°
• Integrated adjustable closing damper
• Wide range of applications</t>
  </si>
  <si>
    <t>• Allows additional cabinet installation above
• Holds ﬂap securely open at any angle between 45° and 100°
• For ﬂaps of light to medium weight
• Integrated adjustable closing damper</t>
  </si>
  <si>
    <t>• Opens the door parallel to the cabinet
• Suitable for equipment cabinets and cabinets with cornices, 
    pelmets or attached lights
• Extremely smooth movement
• Extremely strong
• Integrated adjustable closing damper</t>
  </si>
  <si>
    <t>•  Öppnar parallellt mot stommen
•  Lämpligt för skåp med krönlister, överliggande skåp 
     eller belysning
•  Speciellt lätt öppning
•  Hög stabilitet
•  Integrerad justerbar stängningsdämpning</t>
  </si>
  <si>
    <t>Maniglia</t>
  </si>
  <si>
    <t>Traiter</t>
  </si>
  <si>
    <t>Manejar</t>
  </si>
  <si>
    <t>Handtag</t>
  </si>
  <si>
    <t>Längd</t>
  </si>
  <si>
    <t>Lunghezza</t>
  </si>
  <si>
    <t>Longueur</t>
  </si>
  <si>
    <t>Longitud</t>
  </si>
  <si>
    <t>Largeur</t>
  </si>
  <si>
    <t>Hauteur</t>
  </si>
  <si>
    <t>Profondeur</t>
  </si>
  <si>
    <t>Poids</t>
  </si>
  <si>
    <t>Peso</t>
  </si>
  <si>
    <t>Profundidad</t>
  </si>
  <si>
    <t>Altura</t>
  </si>
  <si>
    <t>Ancho</t>
  </si>
  <si>
    <t>Bredd</t>
  </si>
  <si>
    <t>Altezza</t>
  </si>
  <si>
    <t>Larghezza</t>
  </si>
  <si>
    <t>Matériel</t>
  </si>
  <si>
    <t>Materiale</t>
  </si>
  <si>
    <t>Material de MDF</t>
  </si>
  <si>
    <t>Idioma</t>
  </si>
  <si>
    <t>Langue</t>
  </si>
  <si>
    <t>Lingua</t>
  </si>
  <si>
    <t>Språk</t>
  </si>
  <si>
    <t>← zurück</t>
  </si>
  <si>
    <t>← back</t>
  </si>
  <si>
    <t>← Tillbaka</t>
  </si>
  <si>
    <t>← Indietro</t>
  </si>
  <si>
    <t>← Retour</t>
  </si>
  <si>
    <t>← Volver</t>
  </si>
  <si>
    <t>Ü</t>
  </si>
  <si>
    <t>Allemand</t>
  </si>
  <si>
    <t>Suédois</t>
  </si>
  <si>
    <t>Italien</t>
  </si>
  <si>
    <t>Espagnol</t>
  </si>
  <si>
    <t>Francés</t>
  </si>
  <si>
    <t>Sueco</t>
  </si>
  <si>
    <t>Alemán</t>
  </si>
  <si>
    <t>Tedesco</t>
  </si>
  <si>
    <t>Inglese</t>
  </si>
  <si>
    <t>Svedese</t>
  </si>
  <si>
    <t>Francese</t>
  </si>
  <si>
    <t>Spagnolo</t>
  </si>
  <si>
    <t>Spanska</t>
  </si>
  <si>
    <t>Svenska</t>
  </si>
  <si>
    <t>Engelska</t>
  </si>
  <si>
    <t>Tyska</t>
  </si>
  <si>
    <t>manuelle Eingabe:</t>
  </si>
  <si>
    <t>berechnetes Gewicht:</t>
  </si>
  <si>
    <t>calculated weight:</t>
  </si>
  <si>
    <t>manual value:</t>
  </si>
  <si>
    <t>gesamt:</t>
  </si>
  <si>
    <t>total:</t>
  </si>
  <si>
    <t>-----------------</t>
  </si>
  <si>
    <t>Afromosia</t>
  </si>
  <si>
    <t>Ahorn</t>
  </si>
  <si>
    <t>Amerikanische Linde</t>
  </si>
  <si>
    <t>Apfel</t>
  </si>
  <si>
    <t>Balsa</t>
  </si>
  <si>
    <t>Bambus</t>
  </si>
  <si>
    <t>Birke</t>
  </si>
  <si>
    <t>Birne</t>
  </si>
  <si>
    <t>Buche</t>
  </si>
  <si>
    <t>Douglasie</t>
  </si>
  <si>
    <t>Ebenholz</t>
  </si>
  <si>
    <t>Erle</t>
  </si>
  <si>
    <t>Esche</t>
  </si>
  <si>
    <t>Espe</t>
  </si>
  <si>
    <t>Fichte</t>
  </si>
  <si>
    <t>Gabun</t>
  </si>
  <si>
    <t>Hemlock</t>
  </si>
  <si>
    <t>Iroko</t>
  </si>
  <si>
    <t>Kastanie</t>
  </si>
  <si>
    <t>Kiefer</t>
  </si>
  <si>
    <t>Kirsche</t>
  </si>
  <si>
    <t>Lärche</t>
  </si>
  <si>
    <t>Mahagonie</t>
  </si>
  <si>
    <t>Mammutbaum</t>
  </si>
  <si>
    <t>Pappel</t>
  </si>
  <si>
    <t>Pappel, kanadisch</t>
  </si>
  <si>
    <t>Pekannussbaum</t>
  </si>
  <si>
    <t>Platane</t>
  </si>
  <si>
    <t>Pockholz</t>
  </si>
  <si>
    <t>Ramin</t>
  </si>
  <si>
    <t>Robinie</t>
  </si>
  <si>
    <t>Tanne</t>
  </si>
  <si>
    <t>Teak</t>
  </si>
  <si>
    <t>Ulme</t>
  </si>
  <si>
    <t>Weide</t>
  </si>
  <si>
    <t>Zeder</t>
  </si>
  <si>
    <t>Zypresse</t>
  </si>
  <si>
    <t>Glass</t>
  </si>
  <si>
    <t>Maple</t>
  </si>
  <si>
    <t>Basswood</t>
  </si>
  <si>
    <t>Apple</t>
  </si>
  <si>
    <t>Bamboo</t>
  </si>
  <si>
    <t>Birch</t>
  </si>
  <si>
    <t>Pear</t>
  </si>
  <si>
    <t>Beech</t>
  </si>
  <si>
    <t>Douglas Fir</t>
  </si>
  <si>
    <t>Ebony</t>
  </si>
  <si>
    <t>Alder</t>
  </si>
  <si>
    <t>Ash</t>
  </si>
  <si>
    <t>Aspen</t>
  </si>
  <si>
    <t>Spruce</t>
  </si>
  <si>
    <t>Gaboon</t>
  </si>
  <si>
    <t>Chestnut</t>
  </si>
  <si>
    <t>Pine</t>
  </si>
  <si>
    <t>Cherry</t>
  </si>
  <si>
    <t>Larch</t>
  </si>
  <si>
    <t>Mahogany</t>
  </si>
  <si>
    <t>Redwood</t>
  </si>
  <si>
    <t>Poplar</t>
  </si>
  <si>
    <t>Cottonwood</t>
  </si>
  <si>
    <t>Pecan</t>
  </si>
  <si>
    <t>Sycamore</t>
  </si>
  <si>
    <t>Lignum Vitae</t>
  </si>
  <si>
    <t>Locust</t>
  </si>
  <si>
    <t>Particle Board</t>
  </si>
  <si>
    <t>Fir</t>
  </si>
  <si>
    <t>Elm</t>
  </si>
  <si>
    <t>Hickory</t>
  </si>
  <si>
    <t>Willow</t>
  </si>
  <si>
    <t>Cedar</t>
  </si>
  <si>
    <t>Cypress</t>
  </si>
  <si>
    <t>Scharnier</t>
  </si>
  <si>
    <t>Beschlägen</t>
  </si>
  <si>
    <t>Fittings</t>
  </si>
  <si>
    <t>Montageplatte</t>
  </si>
  <si>
    <t>und</t>
  </si>
  <si>
    <t>e</t>
  </si>
  <si>
    <t>och</t>
  </si>
  <si>
    <t>y</t>
  </si>
  <si>
    <t>et</t>
  </si>
  <si>
    <t>and</t>
  </si>
  <si>
    <t>plaque de montage</t>
  </si>
  <si>
    <t>placa de montaje</t>
  </si>
  <si>
    <t>piastra di montaggio</t>
  </si>
  <si>
    <t>mounting plate</t>
  </si>
  <si>
    <t>Achtung hier keine Zellen hinzufügen violette Zellen und Auswahlfeld haben Bezug</t>
  </si>
  <si>
    <t>* Das angenommene spezifische Gewicht entspricht einem Durchschnittswert. 
   Tatsächliche Werte können variieren. 
   Wir empfehlen einen Probeanschlag.</t>
  </si>
  <si>
    <t>* The assumed specific gravity corresponds to the average. 
    Actual results may vary. 
    We recommend a trial fitting.</t>
  </si>
  <si>
    <t>* Il peso specifico assunto corrisponde alla media. 
   I risultati effettivi possono variare.
   Si consiglia un montaggio di prova.</t>
  </si>
  <si>
    <t>* La gravité supposée spécifique correspond à la moyenne. 
   Les résultats réels peuvent varier. 
   Nous recommandons un montage d'essai.</t>
  </si>
  <si>
    <t>* La gravedad específica supuesta corresponde a la media. 
   Los resultados reales pueden variar. 
   Se recomienda un ajuste de prueba.</t>
  </si>
  <si>
    <t>peso calculado:</t>
  </si>
  <si>
    <t>peso calcolato:</t>
  </si>
  <si>
    <t>poids calculé:</t>
  </si>
  <si>
    <t>beräknade vikten:</t>
  </si>
  <si>
    <t>manuell inmatning:</t>
  </si>
  <si>
    <t>inserimento manuale:</t>
  </si>
  <si>
    <t>saisie manuelle:</t>
  </si>
  <si>
    <t>entrada manual:</t>
  </si>
  <si>
    <t>Total:</t>
  </si>
  <si>
    <t>totale:</t>
  </si>
  <si>
    <t>totalt:</t>
  </si>
  <si>
    <t>gångjärn</t>
  </si>
  <si>
    <t>cerniera</t>
  </si>
  <si>
    <t>charnière</t>
  </si>
  <si>
    <t>bisagra</t>
  </si>
  <si>
    <t>Parallell lyftbeslag</t>
  </si>
  <si>
    <r>
      <t xml:space="preserve">•  Tillåter påbyggnad med överskåp
•  Fronten hålls säkert på plats i varje vinkel från 45° till 110°
•  3-D direktinställning av fronten 58
•  Snäpp montering av fronten
•  </t>
    </r>
    <r>
      <rPr>
        <b/>
        <sz val="11"/>
        <color rgb="FFFF0000"/>
        <rFont val="Calibri"/>
        <family val="2"/>
        <scheme val="minor"/>
      </rPr>
      <t>Brett</t>
    </r>
    <r>
      <rPr>
        <sz val="11"/>
        <color theme="1"/>
        <rFont val="Calibri"/>
        <family val="2"/>
        <scheme val="minor"/>
      </rPr>
      <t xml:space="preserve"> användningsområde
•  Integrerad justerbar stängningsdämpning</t>
    </r>
  </si>
  <si>
    <r>
      <t xml:space="preserve">L-80 </t>
    </r>
    <r>
      <rPr>
        <b/>
        <sz val="11"/>
        <color rgb="FFFF0000"/>
        <rFont val="Calibri"/>
        <family val="2"/>
        <scheme val="minor"/>
      </rPr>
      <t>Parallell Lyftbeslag</t>
    </r>
  </si>
  <si>
    <t>Täckning i mm</t>
  </si>
  <si>
    <t>Klaff</t>
  </si>
  <si>
    <t>höjd</t>
  </si>
  <si>
    <t>vikt</t>
  </si>
  <si>
    <t>Valt beslag passar inte för de angivna måtten</t>
  </si>
  <si>
    <t>Valt beslag passar inte för den angivna vikten</t>
  </si>
  <si>
    <r>
      <rPr>
        <b/>
        <sz val="11"/>
        <color rgb="FFFF0000"/>
        <rFont val="Calibri"/>
        <family val="2"/>
        <scheme val="minor"/>
      </rPr>
      <t xml:space="preserve">* Den beräknade specifika vikten motsvarar den genomsnittliga. </t>
    </r>
    <r>
      <rPr>
        <sz val="11"/>
        <color theme="1"/>
        <rFont val="Calibri"/>
        <family val="2"/>
        <scheme val="minor"/>
      </rPr>
      <t xml:space="preserve">
   Faktiska resultat kan variera. 
   Vi rekommenderar en provmontering.</t>
    </r>
  </si>
  <si>
    <t>Skåpshöjd</t>
  </si>
  <si>
    <t>Klaff vikt</t>
  </si>
  <si>
    <t>Beslag</t>
  </si>
  <si>
    <t>monteringsplatta</t>
  </si>
  <si>
    <t>Beställningsnummer</t>
  </si>
  <si>
    <t>Gran / Fur</t>
  </si>
  <si>
    <t>Lönn</t>
  </si>
  <si>
    <t>Lind</t>
  </si>
  <si>
    <t>Apel</t>
  </si>
  <si>
    <t>Balsam</t>
  </si>
  <si>
    <t>Bambu</t>
  </si>
  <si>
    <t>Björk</t>
  </si>
  <si>
    <t>Päron</t>
  </si>
  <si>
    <t>Bok</t>
  </si>
  <si>
    <t>Douglas trä</t>
  </si>
  <si>
    <t>Ebenholts</t>
  </si>
  <si>
    <t>Al</t>
  </si>
  <si>
    <t>Ask</t>
  </si>
  <si>
    <t>Asp</t>
  </si>
  <si>
    <t xml:space="preserve">Gran  </t>
  </si>
  <si>
    <t>Gabon</t>
  </si>
  <si>
    <t>Kastanj</t>
  </si>
  <si>
    <t>Furu</t>
  </si>
  <si>
    <t>Körsbär</t>
  </si>
  <si>
    <t>Lärkträ</t>
  </si>
  <si>
    <t>Mahongny</t>
  </si>
  <si>
    <t>Mammutträ</t>
  </si>
  <si>
    <t>Poppel</t>
  </si>
  <si>
    <t>Poppel, kanadensisk</t>
  </si>
  <si>
    <t>Pekan</t>
  </si>
  <si>
    <t>Spånskiva</t>
  </si>
  <si>
    <t>Alm</t>
  </si>
  <si>
    <t>Valnöt</t>
  </si>
  <si>
    <t>Vide</t>
  </si>
  <si>
    <t>Ceder</t>
  </si>
  <si>
    <t>Aluminiumrahmenscharnier</t>
  </si>
  <si>
    <t>aluminiumramgångjärn</t>
  </si>
  <si>
    <t>Wir empfehlen:</t>
  </si>
  <si>
    <t>We recommend:</t>
  </si>
  <si>
    <t>vi rekommenderar:</t>
  </si>
  <si>
    <t>hinge</t>
  </si>
  <si>
    <t>F152145248201</t>
  </si>
  <si>
    <t>F152147444201</t>
  </si>
  <si>
    <t>F152147440201</t>
  </si>
  <si>
    <t>F152145249201</t>
  </si>
  <si>
    <t>F152145250201</t>
  </si>
  <si>
    <t>F152147441201</t>
  </si>
  <si>
    <t>F152145251201</t>
  </si>
  <si>
    <t>F152145252201</t>
  </si>
  <si>
    <t>F152147442201</t>
  </si>
  <si>
    <t>F152145281201</t>
  </si>
  <si>
    <t>F152145282201</t>
  </si>
  <si>
    <t>F152147443201</t>
  </si>
  <si>
    <t>F152145253201</t>
  </si>
  <si>
    <t>F152145254201</t>
  </si>
  <si>
    <t>F152145237201</t>
  </si>
  <si>
    <t>F152145238201</t>
  </si>
  <si>
    <t>F152145239201</t>
  </si>
  <si>
    <t>F152145240201</t>
  </si>
  <si>
    <t>F152145241201</t>
  </si>
  <si>
    <t>F152145242201</t>
  </si>
  <si>
    <t>F152145243201</t>
  </si>
  <si>
    <t>F152145244201</t>
  </si>
  <si>
    <t>F152145245201</t>
  </si>
  <si>
    <t>F152145246201</t>
  </si>
  <si>
    <t>F152145247201</t>
  </si>
  <si>
    <t>F151145220201</t>
  </si>
  <si>
    <t>F151145218201</t>
  </si>
  <si>
    <t>F151145214201</t>
  </si>
  <si>
    <t>F151145216201</t>
  </si>
  <si>
    <t>F151145224201</t>
  </si>
  <si>
    <t>F151145222201</t>
  </si>
  <si>
    <t>F151145223201</t>
  </si>
  <si>
    <t>F151147706201</t>
  </si>
  <si>
    <t>F151147699201</t>
  </si>
  <si>
    <t>F151147702201</t>
  </si>
  <si>
    <t>F151147703201</t>
  </si>
  <si>
    <t>F151147704201</t>
  </si>
  <si>
    <t>F151147705201</t>
  </si>
  <si>
    <t>F151147696201</t>
  </si>
  <si>
    <t>F151147692201</t>
  </si>
  <si>
    <t>F151147688201</t>
  </si>
  <si>
    <t>F151147689201</t>
  </si>
  <si>
    <t>F151147690201</t>
  </si>
  <si>
    <t>F151147691201</t>
  </si>
  <si>
    <t>F151147682201</t>
  </si>
  <si>
    <t>F151147678201</t>
  </si>
  <si>
    <t>F151147679201</t>
  </si>
  <si>
    <t>F151147680201</t>
  </si>
  <si>
    <t>F151147681201</t>
  </si>
  <si>
    <t>F152000255201</t>
  </si>
  <si>
    <t>F152000256201</t>
  </si>
  <si>
    <t>F152000257201</t>
  </si>
  <si>
    <t>F152000258201</t>
  </si>
  <si>
    <t>F152000259201</t>
  </si>
  <si>
    <t>F152145055201</t>
  </si>
  <si>
    <t>F152145054201</t>
  </si>
  <si>
    <t>F151145221201</t>
  </si>
  <si>
    <t>F151145219201</t>
  </si>
  <si>
    <t>F151145215201</t>
  </si>
  <si>
    <t>F151145217201</t>
  </si>
  <si>
    <r>
      <rPr>
        <b/>
        <sz val="11"/>
        <color theme="1"/>
        <rFont val="Calibri"/>
        <family val="2"/>
        <scheme val="minor"/>
      </rPr>
      <t>F151</t>
    </r>
    <r>
      <rPr>
        <sz val="11"/>
        <color theme="1"/>
        <rFont val="Calibri"/>
        <family val="2"/>
        <scheme val="minor"/>
      </rPr>
      <t>145</t>
    </r>
    <r>
      <rPr>
        <b/>
        <sz val="11"/>
        <color theme="1"/>
        <rFont val="Calibri"/>
        <family val="2"/>
        <scheme val="minor"/>
      </rPr>
      <t>226201</t>
    </r>
  </si>
  <si>
    <t>F151145226201</t>
  </si>
  <si>
    <r>
      <rPr>
        <b/>
        <sz val="11"/>
        <color theme="1"/>
        <rFont val="Calibri"/>
        <family val="2"/>
        <scheme val="minor"/>
      </rPr>
      <t>F152</t>
    </r>
    <r>
      <rPr>
        <sz val="11"/>
        <color theme="1"/>
        <rFont val="Calibri"/>
        <family val="2"/>
        <scheme val="minor"/>
      </rPr>
      <t>145</t>
    </r>
    <r>
      <rPr>
        <b/>
        <sz val="11"/>
        <color theme="1"/>
        <rFont val="Calibri"/>
        <family val="2"/>
        <scheme val="minor"/>
      </rPr>
      <t>055201</t>
    </r>
  </si>
  <si>
    <t>Industrieverpackung erhältlich</t>
  </si>
  <si>
    <t>cabinet height</t>
  </si>
  <si>
    <t>flap weight</t>
  </si>
  <si>
    <t>Bulk package available</t>
  </si>
  <si>
    <t>Pannello di truciolato</t>
  </si>
  <si>
    <t>Acero</t>
  </si>
  <si>
    <t>Tiglio americano</t>
  </si>
  <si>
    <t>Melo</t>
  </si>
  <si>
    <t>Bambù</t>
  </si>
  <si>
    <t>Betulla</t>
  </si>
  <si>
    <t>Pero</t>
  </si>
  <si>
    <t>Faggio</t>
  </si>
  <si>
    <t>Douglasia costiera</t>
  </si>
  <si>
    <t>Ebano</t>
  </si>
  <si>
    <t>Ontano</t>
  </si>
  <si>
    <t>Frassino</t>
  </si>
  <si>
    <t>Tremolo</t>
  </si>
  <si>
    <t>Abete rosso</t>
  </si>
  <si>
    <t>Legno del Gabon</t>
  </si>
  <si>
    <t>Tsuga</t>
  </si>
  <si>
    <t>Castagno</t>
  </si>
  <si>
    <t>Pino</t>
  </si>
  <si>
    <t>Ciliegio</t>
  </si>
  <si>
    <t>Larice</t>
  </si>
  <si>
    <t>Mogano</t>
  </si>
  <si>
    <t>Sequoia</t>
  </si>
  <si>
    <t>Pioppo</t>
  </si>
  <si>
    <t>Pioppo canadese</t>
  </si>
  <si>
    <t>Platano</t>
  </si>
  <si>
    <t>Legno di guaiaco</t>
  </si>
  <si>
    <t>Legno ramino</t>
  </si>
  <si>
    <t>Robinia</t>
  </si>
  <si>
    <t>Abete</t>
  </si>
  <si>
    <t>Olmo</t>
  </si>
  <si>
    <t>Noce</t>
  </si>
  <si>
    <t>Salice</t>
  </si>
  <si>
    <t>Cedro</t>
  </si>
  <si>
    <t>Cipresso</t>
  </si>
  <si>
    <t>Materiale MDF</t>
  </si>
  <si>
    <t>Abete rosso/ pino</t>
  </si>
  <si>
    <t>Si consiglia di</t>
  </si>
  <si>
    <t>nous recommandons</t>
  </si>
  <si>
    <t>recomendamos</t>
  </si>
  <si>
    <t>tjocklek</t>
  </si>
  <si>
    <t>thickness</t>
  </si>
  <si>
    <t>Spessore</t>
  </si>
  <si>
    <t>Industriförpackning tillgänglig</t>
  </si>
  <si>
    <t>Portugiesisch</t>
  </si>
  <si>
    <t xml:space="preserve">Alemão </t>
  </si>
  <si>
    <t>Inglês</t>
  </si>
  <si>
    <t>Frances</t>
  </si>
  <si>
    <t>Espanhol</t>
  </si>
  <si>
    <t>Bisagra para portas dobráveis</t>
  </si>
  <si>
    <t xml:space="preserve">http://www.grass.at </t>
  </si>
  <si>
    <t>• Para armários com frentes dividas
• Movimento especialmente leve
• Utilizável para frentes sem puxador
• Amortecedor integrado e regulável</t>
  </si>
  <si>
    <t>Bisagra para portas elevatórias em paralelo</t>
  </si>
  <si>
    <r>
      <t>• Abre-se em paralelo ao armário
• Adequado para armários com aparelhos e armários com</t>
    </r>
    <r>
      <rPr>
        <sz val="11"/>
        <rFont val="Calibri"/>
        <family val="2"/>
        <scheme val="minor"/>
      </rPr>
      <t xml:space="preserve"> coroa</t>
    </r>
    <r>
      <rPr>
        <sz val="11"/>
        <color theme="1"/>
        <rFont val="Calibri"/>
        <family val="2"/>
        <scheme val="minor"/>
      </rPr>
      <t>, moldura ou luzes
• Movimento extremamente leve
• Alta estabilidade
• Amortecedor integrado e regulável</t>
    </r>
  </si>
  <si>
    <t xml:space="preserve">Bisagra para porta giratória </t>
  </si>
  <si>
    <t>• Gira por cima do armário
• Adequado para armários com aparelhos e armários com coroa, moldura ou luzes
• Movimento extremamente leve
• Alta estabilidade
• Amortecedor integrado e regulável</t>
  </si>
  <si>
    <t xml:space="preserve">Bisagra para portas elevatórias </t>
  </si>
  <si>
    <t>• Adequado para aplicações com elementos superiores
• A porta se mantém em qualquer posição, em ângulos entre 45° e 100°
• Para portas leves até peso médio
• Amortecedor integrado e regulável</t>
  </si>
  <si>
    <t>• Adequado para aplicações com elementos superiores
• A porta se mantém em qualquer posição, em ângulos entre 45° e 110°
• Amortecedor integrado e regulável
• Extenso campo de aplicação</t>
  </si>
  <si>
    <t xml:space="preserve">• Adequado para aplicações com elementos superiores
• A porta se mantém em qualquer posição, em ângulos entre 45° e 110°
• Regulação direta da frente tridimensional
• Montagem tipo clip
• Extenso campo de aplicação
• Amortecedor integrado e regulável </t>
  </si>
  <si>
    <t xml:space="preserve">• Adequado para aplicações com elementos superiores
• A porta se mantém aberta em qualquer posição, em ângulos entre 45° e 110°
• Para portas pesadas
• Amortecedor integrado e regulável
 </t>
  </si>
  <si>
    <t>• Adequado para aplicações com elementos superiores
• A porta se mantém aberta em qualquer posição, em ângulos entre 45° e 110°
• Amortecedor integrado e regulável 
• Regulação direta da frente tridimensional
• Montagem tipo clip
• Para portas pesadas</t>
  </si>
  <si>
    <t xml:space="preserve">• Adequado para aplicações com elementos superiores
• A porta se mantém aberta em qualquer posição, em ângulos entre 75° ou 90°
• Para portas de tamanho médio </t>
  </si>
  <si>
    <t xml:space="preserve">Braço </t>
  </si>
  <si>
    <t>•  Adequado para aplicações com elementos superiores
• A porta se mantém aberta em qualquer posição, em ângulos entre 45° e 105°
• Extenso campo de aplicação
• Função de abertura suplementaria</t>
  </si>
  <si>
    <t xml:space="preserve"> L-80 Bisagra para portas elevatórias em paralelo </t>
  </si>
  <si>
    <t xml:space="preserve"> F-20 Bisagra para portas dobráveis </t>
  </si>
  <si>
    <t> T-105 Braço</t>
  </si>
  <si>
    <t xml:space="preserve"> T-57 Bisagra para portas elevatórias </t>
  </si>
  <si>
    <t> T-76 Bisagra para portas elevatórias</t>
  </si>
  <si>
    <t> T-75 Bisagra para portas elevatórias</t>
  </si>
  <si>
    <t> T-71 Bisagra para portas elevatórias</t>
  </si>
  <si>
    <t> T-70 Bisagra para portas elevatórias</t>
  </si>
  <si>
    <t> T-65 Bisagra para portas elevatórias</t>
  </si>
  <si>
    <t xml:space="preserve"> S-35 Bisagra para portas giratórias </t>
  </si>
  <si>
    <t xml:space="preserve"> Conexão para madeira </t>
  </si>
  <si>
    <t xml:space="preserve"> 19 mm de alumínio </t>
  </si>
  <si>
    <t> Desenho para</t>
  </si>
  <si>
    <t> Tiragem em mm</t>
  </si>
  <si>
    <t> 13</t>
  </si>
  <si>
    <t> 14</t>
  </si>
  <si>
    <t> 16</t>
  </si>
  <si>
    <t> 17</t>
  </si>
  <si>
    <t> Frente</t>
  </si>
  <si>
    <t> Puxador</t>
  </si>
  <si>
    <t> Comprimento</t>
  </si>
  <si>
    <t> Largura</t>
  </si>
  <si>
    <t> Altura</t>
  </si>
  <si>
    <t>Profundidade</t>
  </si>
  <si>
    <t> Material</t>
  </si>
  <si>
    <t xml:space="preserve"> Bisagra selecionada não é apropriada para as medidas desejadas </t>
  </si>
  <si>
    <t> Bisagra selecionada não é apropriada para o peso desejado</t>
  </si>
  <si>
    <t>*O peso específico suposto corresponde à média.
Os valores reais podem variar.
Recomendamos uma montagem de teste.</t>
  </si>
  <si>
    <t> Soluções com</t>
  </si>
  <si>
    <t> Solução com</t>
  </si>
  <si>
    <t> Programa</t>
  </si>
  <si>
    <t> Altura do corpo</t>
  </si>
  <si>
    <t> Peso da porta</t>
  </si>
  <si>
    <t> Ajustamento</t>
  </si>
  <si>
    <t> Também se necessita</t>
  </si>
  <si>
    <t> Recomendamos:</t>
  </si>
  <si>
    <t xml:space="preserve"> Dobradiça </t>
  </si>
  <si>
    <t xml:space="preserve"> Placa de montagem </t>
  </si>
  <si>
    <t>Peso calculado:</t>
  </si>
  <si>
    <t>Entrada manual:</t>
  </si>
  <si>
    <t> Recomendação</t>
  </si>
  <si>
    <t> ← Voltar</t>
  </si>
  <si>
    <t xml:space="preserve"> Informação </t>
  </si>
  <si>
    <t>informação</t>
  </si>
  <si>
    <t> N° do pedido</t>
  </si>
  <si>
    <t> pagina</t>
  </si>
  <si>
    <t xml:space="preserve"> Gestão de energia </t>
  </si>
  <si>
    <t> Set (E+D)</t>
  </si>
  <si>
    <t> Esquerda</t>
  </si>
  <si>
    <t> Alavanca de direção tipo 1</t>
  </si>
  <si>
    <t> Alavanca de direção tipo 2</t>
  </si>
  <si>
    <t> Alavanca de direção tipo 3</t>
  </si>
  <si>
    <t> Alavanca de direção tipo 4</t>
  </si>
  <si>
    <t> Alavanca de direção tipo 5</t>
  </si>
  <si>
    <t> Alavanca de direção tipo 6</t>
  </si>
  <si>
    <t> Alavanca de direção tipo 7</t>
  </si>
  <si>
    <t> Mola A</t>
  </si>
  <si>
    <t> Mola B</t>
  </si>
  <si>
    <t>Mola C</t>
  </si>
  <si>
    <t> Mola D</t>
  </si>
  <si>
    <t> Mola E</t>
  </si>
  <si>
    <t> Mola standard</t>
  </si>
  <si>
    <t> Mola preta</t>
  </si>
  <si>
    <t> Mola branca</t>
  </si>
  <si>
    <t> Mola laranja</t>
  </si>
  <si>
    <t> Mola unilateral amarela</t>
  </si>
  <si>
    <t> Mola bilateral amarela</t>
  </si>
  <si>
    <t> Mola bilateral preto</t>
  </si>
  <si>
    <t xml:space="preserve"> Ajustável </t>
  </si>
  <si>
    <t> 1 suporte para frente</t>
  </si>
  <si>
    <t> 2 suportes para frente</t>
  </si>
  <si>
    <t> Set adaptador para portas com moldura de alumínio Kinvaro L-80</t>
  </si>
  <si>
    <t> Set adaptador para portas com moldura de alumínio Kinvaro F-20</t>
  </si>
  <si>
    <t> Set adaptador para portas com moldura de alumínio Kinvaro T-76</t>
  </si>
  <si>
    <t> Set adaptador para portas com moldura de alumínio Kinvaro T-71</t>
  </si>
  <si>
    <t> Set adaptador para portas com moldura de alumínio Kinvaro S-35</t>
  </si>
  <si>
    <t xml:space="preserve"> Suporte para frente Kinvaro T-105 direita </t>
  </si>
  <si>
    <t> Material MDF</t>
  </si>
  <si>
    <t> Aglomerado</t>
  </si>
  <si>
    <t>Set adaptador para portas com moldura de alumínio Kinvaro L-80</t>
  </si>
  <si>
    <t>Set adaptador para portas com moldura de alumínio Kinvaro F-20</t>
  </si>
  <si>
    <t>Set adaptador para portas com moldura de alumínio Kinvaro T-76</t>
  </si>
  <si>
    <t>Set adaptador para portas com moldura de alumínio Kinvaro T-71</t>
  </si>
  <si>
    <t>Set adaptador para portas com moldura de alumínio Kinvaro S-35</t>
  </si>
  <si>
    <t>suportes para frente Kinvaro T-105 esquerdo</t>
  </si>
  <si>
    <t>Aglomerado</t>
  </si>
  <si>
    <t>Abeto/ Pinheiro</t>
  </si>
  <si>
    <t>Vidro</t>
  </si>
  <si>
    <t>Ácer</t>
  </si>
  <si>
    <t>Tília americana</t>
  </si>
  <si>
    <t>maçã</t>
  </si>
  <si>
    <t>Bétula</t>
  </si>
  <si>
    <t>Pêra</t>
  </si>
  <si>
    <t>Faia</t>
  </si>
  <si>
    <t>Douglasia</t>
  </si>
  <si>
    <t>Pau-preto</t>
  </si>
  <si>
    <t>Amieiro</t>
  </si>
  <si>
    <t>Freixo</t>
  </si>
  <si>
    <t xml:space="preserve">Álamo </t>
  </si>
  <si>
    <t>Abeto</t>
  </si>
  <si>
    <t xml:space="preserve">Gabão </t>
  </si>
  <si>
    <t>Madeira de iroko</t>
  </si>
  <si>
    <t>Castanha</t>
  </si>
  <si>
    <t>Pinheiro</t>
  </si>
  <si>
    <t xml:space="preserve">Cereja </t>
  </si>
  <si>
    <t>Pinheiro lariço</t>
  </si>
  <si>
    <t>Mogno</t>
  </si>
  <si>
    <t>Sequoias</t>
  </si>
  <si>
    <t xml:space="preserve">Álamo canadense </t>
  </si>
  <si>
    <t>Arvore pecam</t>
  </si>
  <si>
    <t xml:space="preserve">Plátano </t>
  </si>
  <si>
    <t xml:space="preserve">Pau-santo </t>
  </si>
  <si>
    <t>Madeira de ramin</t>
  </si>
  <si>
    <t xml:space="preserve">Aglomerado </t>
  </si>
  <si>
    <t>Teca</t>
  </si>
  <si>
    <t>Noz</t>
  </si>
  <si>
    <t xml:space="preserve">Salgueiro </t>
  </si>
  <si>
    <t xml:space="preserve">Cedro </t>
  </si>
  <si>
    <t xml:space="preserve">Cipreste </t>
  </si>
  <si>
    <t>Base de montagem</t>
  </si>
  <si>
    <t xml:space="preserve">Dobradiça para moldura de alumínio </t>
  </si>
  <si>
    <t xml:space="preserve">Embalagem industrial disponível </t>
  </si>
  <si>
    <t>Português</t>
  </si>
  <si>
    <t>Portugués</t>
  </si>
  <si>
    <t>Portugais</t>
  </si>
  <si>
    <t>Portoghese</t>
  </si>
  <si>
    <t>Portuguese</t>
  </si>
  <si>
    <t>Portugisiska</t>
  </si>
  <si>
    <t>Piastrine di montaggio</t>
  </si>
  <si>
    <t>Cerniera per telai di alluminio</t>
  </si>
  <si>
    <t>Imballaggio industriale disponibile</t>
  </si>
  <si>
    <t>Acajou</t>
  </si>
  <si>
    <t>Sapin Rouge</t>
  </si>
  <si>
    <t>Sapin</t>
  </si>
  <si>
    <t>Mélèze</t>
  </si>
  <si>
    <t>Pin</t>
  </si>
  <si>
    <t>L´érable</t>
  </si>
  <si>
    <t>Hêtre</t>
  </si>
  <si>
    <t>Frêne</t>
  </si>
  <si>
    <t>Robinier</t>
  </si>
  <si>
    <t>Pin douglas</t>
  </si>
  <si>
    <t>Cèdre rouge</t>
  </si>
  <si>
    <t>Ttilleul</t>
  </si>
  <si>
    <t>Pommier</t>
  </si>
  <si>
    <t>Bambou</t>
  </si>
  <si>
    <t>Bouleau</t>
  </si>
  <si>
    <t>Poire</t>
  </si>
  <si>
    <t>Ébène</t>
  </si>
  <si>
    <t>Aulne</t>
  </si>
  <si>
    <t>Tremble</t>
  </si>
  <si>
    <t>Marron</t>
  </si>
  <si>
    <t>Cerise</t>
  </si>
  <si>
    <t>Séquoia géant</t>
  </si>
  <si>
    <t>Afrormosia</t>
  </si>
  <si>
    <t>Peuplier</t>
  </si>
  <si>
    <t>Peuplier canadien</t>
  </si>
  <si>
    <t>Noix de pécan</t>
  </si>
  <si>
    <t>Guaiacum</t>
  </si>
  <si>
    <t>Orme</t>
  </si>
  <si>
    <t>Noyer commun</t>
  </si>
  <si>
    <t>Saule</t>
  </si>
  <si>
    <t>Cyprès</t>
  </si>
  <si>
    <t>Ädelgran</t>
  </si>
  <si>
    <t>Platansläktet</t>
  </si>
  <si>
    <t>Arce</t>
  </si>
  <si>
    <t>Tilo</t>
  </si>
  <si>
    <t>Manzana</t>
  </si>
  <si>
    <t>Bambú</t>
  </si>
  <si>
    <t>Abedul</t>
  </si>
  <si>
    <t>Pera</t>
  </si>
  <si>
    <t>Haya</t>
  </si>
  <si>
    <t>Ébano</t>
  </si>
  <si>
    <t>Aliso</t>
  </si>
  <si>
    <t>Fresno</t>
  </si>
  <si>
    <t>Álamo</t>
  </si>
  <si>
    <t>Pícea</t>
  </si>
  <si>
    <t>Gabón</t>
  </si>
  <si>
    <t>Castaña</t>
  </si>
  <si>
    <t>Cereza</t>
  </si>
  <si>
    <t>Alerce</t>
  </si>
  <si>
    <t>Caoba</t>
  </si>
  <si>
    <t>Sequoioideae</t>
  </si>
  <si>
    <t>Álamo del Canadá</t>
  </si>
  <si>
    <t>Pacana</t>
  </si>
  <si>
    <t>Plátano</t>
  </si>
  <si>
    <t>Madera de ramin</t>
  </si>
  <si>
    <t>Tablero de aglomerado</t>
  </si>
  <si>
    <t>Walnuss</t>
  </si>
  <si>
    <t>Nuez</t>
  </si>
  <si>
    <t>Sauce</t>
  </si>
  <si>
    <t>Ciprés</t>
  </si>
  <si>
    <t>Base</t>
  </si>
  <si>
    <t>Bisagra para marcos de aluminio</t>
  </si>
  <si>
    <t>Embalaje industrial disponible</t>
  </si>
  <si>
    <t>Plaques de montage</t>
  </si>
  <si>
    <t>Charnière cadre aluminium</t>
  </si>
  <si>
    <t xml:space="preserve">Emballage industriel  disponible </t>
  </si>
  <si>
    <t>Türkisch</t>
  </si>
  <si>
    <t>Lisan</t>
  </si>
  <si>
    <t>Almanca</t>
  </si>
  <si>
    <t>İngilizce</t>
  </si>
  <si>
    <t>İsveççe</t>
  </si>
  <si>
    <t>İtalyanca</t>
  </si>
  <si>
    <t>Fransızca</t>
  </si>
  <si>
    <t>İspanyolca</t>
  </si>
  <si>
    <t>Portekizce</t>
  </si>
  <si>
    <t>Türkçe</t>
  </si>
  <si>
    <t>Katlanır Kapak Sistemi</t>
  </si>
  <si>
    <t xml:space="preserve">• Parçalı cepheli üst dolaplar için
• Olağanüstü hafif hareket akışı
• Kulpsuz cepheler için kullanılabilir
• Entegre yavaş kapanma mekanizması
</t>
  </si>
  <si>
    <t>Paralel kalkan makas donanımı</t>
  </si>
  <si>
    <t>• Dolaba paralel açar
•  Alın çıtalı, pervazlı veya üstten aydınlatmalı dolaplar için uygundur
• Olağanüstü hafif hareket akışı
• Çok sağlam
• Entegre yavaş kapanma mekanizması</t>
  </si>
  <si>
    <t xml:space="preserve"> Döner kapak donanımı</t>
  </si>
  <si>
    <t>• Makaslı dolabın üzerine dolap eklenebilir
•  Alın çıtalı, pervazlı veya üstten aydınlatmalı dolaplar için uygundur
• Olağandışı hafif hareket akışı
• Çok sağlam
• Entegre yavaş kapanma mekanizması</t>
  </si>
  <si>
    <t>Döner kapak makası</t>
  </si>
  <si>
    <t>• Makaslı dolabın üzerine dolap eklenebilir
•  Kapak 45° ila 100° arası her açıda güvenli bir biçimde durur
• Hafif ve orta ağırlıkta kapaklar için
• Entegre yavaş kapanma mekanizması</t>
  </si>
  <si>
    <t>• Makaslı dolabın üzerine dolap eklenebilir
•  Kapak 45° ila 110° arası her açıda güvenli bir biçimde durur
• Entegre yavaş kapanma mekanizması
• Geniş kullanım alanı</t>
  </si>
  <si>
    <t>• Makaslı dolabın üzerine dolap eklenebilir
•  Kapak 45° ila 110° arası her açıda güvenli bir biçimde durur
• 3-boyutlu kapak ayarı
• Klipsleyerek montaj
• Geniş kullanım alanı
• Entegre yavaş kapanma mekanizması</t>
  </si>
  <si>
    <t>• Makaslı dolabın üzerine dolap eklenebilir
•  Kapak 45° ila 110° arası her açıda güvenli bir biçimde durur
• Ağır kapaklar için
• Entegre yavaş kapanma mekanizması</t>
  </si>
  <si>
    <t>• Makaslı dolabın üzerine dolap eklenebilir
•  Kapak 45° ila 110° arası her açıda güvenli bir biçimde durur
• Entegre yavaş kapanma mekanizması
• 3-boyutlu kapak ayarı
• Klipsleyerek montaj
• Ağır kapaklar için</t>
  </si>
  <si>
    <t>• Üzerine dolap monte edilebilir
• 75° veya 90° açılma derecesi ayarlanabilir
• Orta büyüklükte kapaklar için</t>
  </si>
  <si>
    <t>Menteşeli Makas sistemi</t>
  </si>
  <si>
    <t>• Makaslı dolabın üzerine dolap eklenebilir
•  Kapak 45° ila 105° arası her açıda güvenli bir biçimde durur
• Geniş kullanım alanı
• Kuvvet destekli açma fonksiyonu</t>
  </si>
  <si>
    <t xml:space="preserve"> L-80 Paralel kalkan makas donanımı</t>
  </si>
  <si>
    <t xml:space="preserve">F-20 Katlanır kapak donanımı </t>
  </si>
  <si>
    <t>T-105 Menteşeli Makas sistemi</t>
  </si>
  <si>
    <t>T-57 Döner kapak makası</t>
  </si>
  <si>
    <t>T-76 Döner kapak makası</t>
  </si>
  <si>
    <t>T-75 Döner kapak makası</t>
  </si>
  <si>
    <t>T-71 Döner kapak makası</t>
  </si>
  <si>
    <t>T-70 Döner kapak makası</t>
  </si>
  <si>
    <t>T-65 Döner kapak makası</t>
  </si>
  <si>
    <t>S-35 Döner kapak donanımı</t>
  </si>
  <si>
    <t>Ahsap bağlantı</t>
  </si>
  <si>
    <t>19mm Alu</t>
  </si>
  <si>
    <t>Uygulama</t>
  </si>
  <si>
    <t>Bini mm</t>
  </si>
  <si>
    <t>Kapak</t>
  </si>
  <si>
    <t>Kulp</t>
  </si>
  <si>
    <t>Uzunluk</t>
  </si>
  <si>
    <t>Genişlik</t>
  </si>
  <si>
    <t>Yükseklik</t>
  </si>
  <si>
    <t>Kalınlık</t>
  </si>
  <si>
    <t>Malzeme</t>
  </si>
  <si>
    <t>Ağırlık</t>
  </si>
  <si>
    <t>Seçilmiş olan Makas sistemi işlenilmesi istenilen ölçüler için uygun değildir</t>
  </si>
  <si>
    <t>Seçilmiş olan Makas sistemi işlenilmesi istenilen kapak ağırlığı için uygun değildir</t>
  </si>
  <si>
    <t>*Hesaplama için kullanılan Malzeme ağırlık birimleri ortalama verilerdir.
Gerçek ağırlık farklı olabilir.
Deneme uygulaması yapılması tarafımızca tavsiye edilir.</t>
  </si>
  <si>
    <t>Çözümler</t>
  </si>
  <si>
    <t>Çözüm</t>
  </si>
  <si>
    <t>Mekanizmalar</t>
  </si>
  <si>
    <t>Gövde Yüksekliği</t>
  </si>
  <si>
    <t>Kapak ağırlığı</t>
  </si>
  <si>
    <t>Mekanizma</t>
  </si>
  <si>
    <t>Bunun haricinde gerekenler</t>
  </si>
  <si>
    <t>Tavsiyemiz</t>
  </si>
  <si>
    <t>Menteşe</t>
  </si>
  <si>
    <t>ve</t>
  </si>
  <si>
    <t>Hesaplanan ağırlık</t>
  </si>
  <si>
    <t>Manuel giriş</t>
  </si>
  <si>
    <t>Toplam</t>
  </si>
  <si>
    <t>Tavsiye</t>
  </si>
  <si>
    <t>← geri</t>
  </si>
  <si>
    <t>Bilgilendirme</t>
  </si>
  <si>
    <t>Sipariş no</t>
  </si>
  <si>
    <t>Sayfa</t>
  </si>
  <si>
    <t>Güç Yönetmesi</t>
  </si>
  <si>
    <t>Set (sol/sağ)</t>
  </si>
  <si>
    <t>Sol</t>
  </si>
  <si>
    <t>Makas kolu Tip 1</t>
  </si>
  <si>
    <t>Makas kolu Tip 2</t>
  </si>
  <si>
    <t>Makas kolu Tip 3</t>
  </si>
  <si>
    <t>Makas kolu Tip 4</t>
  </si>
  <si>
    <t>Makas kolu Tip 5</t>
  </si>
  <si>
    <t>Makas kolu Tip 6</t>
  </si>
  <si>
    <t>Makas kolu Tip 7</t>
  </si>
  <si>
    <t>Güç Faktör A</t>
  </si>
  <si>
    <t>Güç Faktör B</t>
  </si>
  <si>
    <t>Güç Faktör C</t>
  </si>
  <si>
    <t>Güç Faktör D</t>
  </si>
  <si>
    <t>Güç Faktör E</t>
  </si>
  <si>
    <t>Yay Standard</t>
  </si>
  <si>
    <t>Yay Siyah</t>
  </si>
  <si>
    <t>Yay Beyaz</t>
  </si>
  <si>
    <t>Yay Turuncu</t>
  </si>
  <si>
    <t>Yay sarı tek taraf</t>
  </si>
  <si>
    <t>Yay sarı çift taraf</t>
  </si>
  <si>
    <t>Yay siyah çift taraf</t>
  </si>
  <si>
    <t>ayarlanabilir</t>
  </si>
  <si>
    <t>1 T-105 makas</t>
  </si>
  <si>
    <t>2 T-105 makas</t>
  </si>
  <si>
    <t>Alüminyum çerçeve adaptörü L-80 Set</t>
  </si>
  <si>
    <t>Alüminyum çerçeve adaptörü F-20 Set</t>
  </si>
  <si>
    <t>Alüminyum çerçeve adaptörü T-76 Set</t>
  </si>
  <si>
    <t>Alüminyum çerçeve adaptörü T-71 Set</t>
  </si>
  <si>
    <t>Alüminyum çerçeve adaptörü S-35 Set</t>
  </si>
  <si>
    <t>T-105 Makas sağ</t>
  </si>
  <si>
    <t>MDF</t>
  </si>
  <si>
    <t>Sunta</t>
  </si>
  <si>
    <t>Massiv</t>
  </si>
  <si>
    <t>Cam</t>
  </si>
  <si>
    <t>İsfendan ağacı</t>
  </si>
  <si>
    <t>Amerikan ıhlamur ağacı</t>
  </si>
  <si>
    <t>Elma Ağacı</t>
  </si>
  <si>
    <t>Bambu ağacı</t>
  </si>
  <si>
    <t>Huş ağacı</t>
  </si>
  <si>
    <t>Armut ağacı</t>
  </si>
  <si>
    <t>Kayın ağacı</t>
  </si>
  <si>
    <t>Abanoz ağacı</t>
  </si>
  <si>
    <t>Kızıl ağacı</t>
  </si>
  <si>
    <t>Dişbudak ağacı</t>
  </si>
  <si>
    <t>Kavak Ağacı</t>
  </si>
  <si>
    <t>Ladin ağacı</t>
  </si>
  <si>
    <t>Kestane Ağacı</t>
  </si>
  <si>
    <t>Çam ağacı</t>
  </si>
  <si>
    <t>Kiraz ağacı</t>
  </si>
  <si>
    <t>Karaçam ağacı</t>
  </si>
  <si>
    <t>Maun ağacı</t>
  </si>
  <si>
    <t>Mamut ağacı</t>
  </si>
  <si>
    <t>Kavak ağacı</t>
  </si>
  <si>
    <t xml:space="preserve">Kavak ağacı, Kanada'ya ait </t>
  </si>
  <si>
    <t>Tik ağacı</t>
  </si>
  <si>
    <t>Karaağaç</t>
  </si>
  <si>
    <t>Ceviz ağacı</t>
  </si>
  <si>
    <t>Söğüt ağacı</t>
  </si>
  <si>
    <t>Sedir ağacı</t>
  </si>
  <si>
    <t xml:space="preserve">Selvi ağacı </t>
  </si>
  <si>
    <t>Turco</t>
  </si>
  <si>
    <t>Turkish</t>
  </si>
  <si>
    <t>Turc</t>
  </si>
  <si>
    <t>中文</t>
  </si>
  <si>
    <t>语言</t>
  </si>
  <si>
    <t>德语</t>
  </si>
  <si>
    <t>英语</t>
  </si>
  <si>
    <t>瑞典语</t>
  </si>
  <si>
    <t>意大利语</t>
  </si>
  <si>
    <t>法语</t>
  </si>
  <si>
    <t>西班牙语</t>
  </si>
  <si>
    <t>葡萄牙语</t>
  </si>
  <si>
    <t>上翻系统</t>
  </si>
  <si>
    <t>• 适用于所有可安装前支撑的柜体
• 开合顺畅
• 免拉手设计
• 可调节集成阻尼</t>
  </si>
  <si>
    <t>平移上翻</t>
  </si>
  <si>
    <t>• 与柜体平行开合
• 适用于有擔板、门帘、
  吸灯的柜体
• 开合顺畅
• 力度大
• 可调节集成阻尼</t>
  </si>
  <si>
    <t>折叠上翻系统</t>
  </si>
  <si>
    <t>• 柜体上方折叠
• 适用于有儋板、门帘、
  吸灯的柜体
• 开合顺畅
• 力度大
• 可调节集成阻尼</t>
  </si>
  <si>
    <t>• 上方可增加柜体
• 45°-100°任意角度随意停
• 适合中等大小门板重量
• 可调节集成阻尼</t>
  </si>
  <si>
    <t xml:space="preserve">• 上方可增加柜体
• 45°-110°角度随意停
• 可调节集成阻尼
• 使用范围广
</t>
  </si>
  <si>
    <t>• 上方可增加柜体
• 45°-110°任意角度随意停
• 可直接从正面三维调节
• 快装
• 使用范围广
• 可调节集成阻尼</t>
  </si>
  <si>
    <t>• 上方可增加柜体
• 45°-110°任意角度随意停
• 使用重型门板
• 可调节集成阻尼</t>
  </si>
  <si>
    <t>• 上方可增加柜体
• 45°-110°任意角度随意停
• 可调节集成阻尼
• 正面三维调节
• 快装
• 适用于重型门板</t>
  </si>
  <si>
    <t>Http://www.grass.at</t>
  </si>
  <si>
    <t>• 上方可增加柜体
• 75°或90°门板角度
• 适用于中型门板</t>
  </si>
  <si>
    <t>随意停</t>
  </si>
  <si>
    <t>• 上方可增加柜体 
• 45°-105°任意角度随意停
• 适用范围广
• 配置弹簧</t>
  </si>
  <si>
    <t>L-80 平移门撑</t>
  </si>
  <si>
    <t>F-20 折叠上翻</t>
  </si>
  <si>
    <t>T-105 随意停</t>
  </si>
  <si>
    <t>T-57 上翻系统</t>
  </si>
  <si>
    <t>T-76 上翻系统</t>
  </si>
  <si>
    <t>T-75 上翻系统</t>
  </si>
  <si>
    <t>T-71 上翻系统</t>
  </si>
  <si>
    <t>T-70 上翻系统</t>
  </si>
  <si>
    <t>T-65 上翻系统</t>
  </si>
  <si>
    <t>S-35 折叠上翻</t>
  </si>
  <si>
    <t>木制链接件</t>
  </si>
  <si>
    <t>19mm 铝制材料</t>
  </si>
  <si>
    <t>适用于</t>
  </si>
  <si>
    <t>全开 mm</t>
  </si>
  <si>
    <t>上翻</t>
  </si>
  <si>
    <t>把手</t>
  </si>
  <si>
    <t>长</t>
  </si>
  <si>
    <t>宽</t>
  </si>
  <si>
    <t>高</t>
  </si>
  <si>
    <t>厚度</t>
  </si>
  <si>
    <t>材质</t>
  </si>
  <si>
    <t>重量</t>
  </si>
  <si>
    <t>提供的测量数据中没有想要的数据</t>
  </si>
  <si>
    <t>提供的重量数据中没有想要的数据</t>
  </si>
  <si>
    <t>*以上提供的重力皆为平均数值。
 实际使用中数值可能会有不同。
 建议安装之前先进行测试。</t>
  </si>
  <si>
    <t>解决方案</t>
  </si>
  <si>
    <t>门板高度</t>
  </si>
  <si>
    <t>上翻重量</t>
  </si>
  <si>
    <t>也许提供</t>
  </si>
  <si>
    <t>我们建议安装：</t>
  </si>
  <si>
    <t>铰链</t>
  </si>
  <si>
    <t>以及</t>
  </si>
  <si>
    <t>安装底座</t>
  </si>
  <si>
    <t>计算重量：</t>
  </si>
  <si>
    <t>数值：</t>
  </si>
  <si>
    <t>共计：</t>
  </si>
  <si>
    <t>推荐</t>
  </si>
  <si>
    <t>← 返回</t>
  </si>
  <si>
    <t>信息</t>
  </si>
  <si>
    <t>货号</t>
  </si>
  <si>
    <t>侧边</t>
  </si>
  <si>
    <t>动力管理</t>
  </si>
  <si>
    <t>套（左+右）</t>
  </si>
  <si>
    <t>左边</t>
  </si>
  <si>
    <t>连动杆型号1</t>
  </si>
  <si>
    <t>连动杆型号2</t>
  </si>
  <si>
    <t>连动杆型号3</t>
  </si>
  <si>
    <t>连动杆型号4</t>
  </si>
  <si>
    <t>连动杆型号5</t>
  </si>
  <si>
    <t>连动杆型号6</t>
  </si>
  <si>
    <t>连动杆型号7</t>
  </si>
  <si>
    <t>弹簧 A</t>
  </si>
  <si>
    <t>弹簧 B</t>
  </si>
  <si>
    <t>弹簧 C</t>
  </si>
  <si>
    <t>弹簧 D</t>
  </si>
  <si>
    <t>弹簧 E</t>
  </si>
  <si>
    <t>标准弹簧</t>
  </si>
  <si>
    <t>黑色弹簧</t>
  </si>
  <si>
    <t>白色弹簧</t>
  </si>
  <si>
    <t>橙色弹簧</t>
  </si>
  <si>
    <t>一面黄色弹簧</t>
  </si>
  <si>
    <t>两面黄色弹簧</t>
  </si>
  <si>
    <t>两面黑色弹簧</t>
  </si>
  <si>
    <t>可调节</t>
  </si>
  <si>
    <t>1 个上翻支撑</t>
  </si>
  <si>
    <t>2 个上翻支撑</t>
  </si>
  <si>
    <t>铝框门 Kinvaro L-80</t>
  </si>
  <si>
    <t>铝框门 Kinvaro F-20</t>
  </si>
  <si>
    <t>铝框门 Kinvaro T-76</t>
  </si>
  <si>
    <t>铝框门 Kinvaro T-71</t>
  </si>
  <si>
    <t>铝矿门 Kinvaro S-35</t>
  </si>
  <si>
    <t>随意停Kinvaro T-105 右边</t>
  </si>
  <si>
    <t>中纤板材料</t>
  </si>
  <si>
    <t>刨花板</t>
  </si>
  <si>
    <t>杉木/松木</t>
  </si>
  <si>
    <t>玻璃</t>
  </si>
  <si>
    <t>红豆木</t>
  </si>
  <si>
    <t>枫木</t>
  </si>
  <si>
    <t>椴木</t>
  </si>
  <si>
    <t>苹果木</t>
  </si>
  <si>
    <t>巴尔沙木</t>
  </si>
  <si>
    <t>竹</t>
  </si>
  <si>
    <t>桦木</t>
  </si>
  <si>
    <t>梨木</t>
  </si>
  <si>
    <t>山毛榉</t>
  </si>
  <si>
    <t>花旗松</t>
  </si>
  <si>
    <t>乌木</t>
  </si>
  <si>
    <t>赤杨木</t>
  </si>
  <si>
    <t>白蜡木</t>
  </si>
  <si>
    <t>山杨木</t>
  </si>
  <si>
    <t>云杉</t>
  </si>
  <si>
    <t>加班木</t>
  </si>
  <si>
    <t>铁杉</t>
  </si>
  <si>
    <t>绿柄桑</t>
  </si>
  <si>
    <t>栗木</t>
  </si>
  <si>
    <t>松</t>
  </si>
  <si>
    <t>樱桃木</t>
  </si>
  <si>
    <t>落叶松木</t>
  </si>
  <si>
    <t>红木</t>
  </si>
  <si>
    <t>红杉</t>
  </si>
  <si>
    <t>白杨木</t>
  </si>
  <si>
    <t>杨木</t>
  </si>
  <si>
    <t>胡桃木</t>
  </si>
  <si>
    <t>梧桐木</t>
  </si>
  <si>
    <t>愈创木</t>
  </si>
  <si>
    <t>白木</t>
  </si>
  <si>
    <t>洋槐</t>
  </si>
  <si>
    <t>冷杉</t>
  </si>
  <si>
    <t>柚木</t>
  </si>
  <si>
    <t>榆木</t>
  </si>
  <si>
    <t>山核桃木</t>
  </si>
  <si>
    <t>柳木</t>
  </si>
  <si>
    <t>雪松</t>
  </si>
  <si>
    <t>柏木</t>
  </si>
  <si>
    <t>Chinesisch</t>
  </si>
  <si>
    <t>Chinese</t>
  </si>
  <si>
    <t>土耳其语</t>
  </si>
  <si>
    <t>Kinesiska</t>
  </si>
  <si>
    <t>Turkiska</t>
  </si>
  <si>
    <t>Cinese</t>
  </si>
  <si>
    <t>Chinois</t>
  </si>
  <si>
    <t>Chino</t>
  </si>
  <si>
    <t>Chinês</t>
  </si>
  <si>
    <t>Çince</t>
  </si>
  <si>
    <t>German</t>
  </si>
  <si>
    <t>English</t>
  </si>
  <si>
    <t>Swedish</t>
  </si>
  <si>
    <t>Italian</t>
  </si>
  <si>
    <t>French</t>
  </si>
  <si>
    <t>Spanish</t>
  </si>
  <si>
    <t>Russian</t>
  </si>
  <si>
    <t>Russo</t>
  </si>
  <si>
    <t>Russe</t>
  </si>
  <si>
    <t>Ruso</t>
  </si>
  <si>
    <t>Rusça</t>
  </si>
  <si>
    <t xml:space="preserve"> 俄语</t>
  </si>
  <si>
    <t>Rysk</t>
  </si>
  <si>
    <t>Polnisch</t>
  </si>
  <si>
    <t>Język</t>
  </si>
  <si>
    <t>Niemiecki</t>
  </si>
  <si>
    <t>Angielski</t>
  </si>
  <si>
    <t>Szwedzki</t>
  </si>
  <si>
    <t>Włoski</t>
  </si>
  <si>
    <t>Francuski</t>
  </si>
  <si>
    <t>Hiszpański</t>
  </si>
  <si>
    <t>Portugalski</t>
  </si>
  <si>
    <t>Turecki</t>
  </si>
  <si>
    <t>Chiński</t>
  </si>
  <si>
    <t>Polski</t>
  </si>
  <si>
    <t>Podnośnik do frontów łamanych</t>
  </si>
  <si>
    <t>• Zastosowanie: do górnych szafek z dzielonym frontem 
• Bardzo delikatny ruch podnoszenia i opuszczania frontu
• Możliwe użycie do frontów bezuchwytowych
• Zintegrowany, regulowalny  hamulec opuszczania frontu</t>
  </si>
  <si>
    <t>Podnośnik do frontów równoległych</t>
  </si>
  <si>
    <t>Podnośnik do frontów zachodzących</t>
  </si>
  <si>
    <t>• Front zachodzi ponad  korpus
• Możliwość stosowania w szafkach z listwami ozdobnymi oraz dodatkowym oświetleniem
• Niezwykle delikatny ruch podnośnika 
• Wysoka stabilność
• Zintegrowany, regulowalny  hamulec opuszczania frontu</t>
  </si>
  <si>
    <t>Podnośnik do frontów uchylnych</t>
  </si>
  <si>
    <t>• Nie koliduje z listwami ozdobnymi na wieńcu                      • Front można zatrzymać w dowolnym miejscu pomiędzy kątem otwarcia 45° a 100°                • Idealny do lekkich i średnio ciężkich frontów  • Zintegrowany, regulowalny hamulec opuszczania frontu</t>
  </si>
  <si>
    <t>• Nie koliduje z listwami ozdobnymi na wieńcu
• Front można zatrzymać w dowolnym miejscu pomiędzy kątem otwarcia 45° a 110°
• Zintegrowany, regulowalny hamulec opuszczania frontu
• Szeroki zakres zastosowań</t>
  </si>
  <si>
    <t>• Nie koliduje z listwami ozdobnymi na wieńcu
• Front można zatrzymać w dowolnym miejscu pomiędzy kątem otwarcia 45° a 110°                    
• Bezpośrednia regulacja frontu   • Mechanizm klipsowy                 • Zintegrowany, regulowalny hamulec opuszczania frontu
• Szeroki zakres zastosowań</t>
  </si>
  <si>
    <t xml:space="preserve">• Nie koliduje z listwami ozdobnymi na wieńcu
• Front można zatrzymać w dowolnym miejscu pomiędzy kątem otwarcia 45° a 100°                    
• Do zastosowania do ciężkich frontów                    • Zintegrowany, regulowalny hamulec opuszczania frontu
</t>
  </si>
  <si>
    <t xml:space="preserve">• Nie koliduje z listwami ozdobnymi na wieńcu
• Front można zatrzymać w dowolnym miejscu pomiędzy kątem otwarcia 45° a 110°                    
• Bezpośrednia regulacja frontu   • Mechanizm klipsowy                 • Zintegrowany, regulowalny hamulec opuszczania frontu
• Do zastosowania do ciężkich frontów  </t>
  </si>
  <si>
    <t>• Nie koliduje z listwami ozdobnymi na wieńcu
• Nastawialny kąt otwarcia 75° lub 90° 
• Do frontów średniej ciężkości</t>
  </si>
  <si>
    <t>Podnośnik nożycowy</t>
  </si>
  <si>
    <t>• Nie koliduje z listwami ozdobnymi na wieńcu
• Front można zatrzymać w dowolnym miejscu pomiędzy kątem otwarcia 45° a 105°            
• Szeroki zakres zastosowań
• Otwarcie frontu wspomagane mechanizmem sprężynowym</t>
  </si>
  <si>
    <t>Podnośnik L-80</t>
  </si>
  <si>
    <t xml:space="preserve">Podnośnik F-20 </t>
  </si>
  <si>
    <t>Podnośnik T-105</t>
  </si>
  <si>
    <t>Podnośnik T-57</t>
  </si>
  <si>
    <t>Podnośnik T-76</t>
  </si>
  <si>
    <t xml:space="preserve">Podnośnik T-75 </t>
  </si>
  <si>
    <t>Podnośnik T-71</t>
  </si>
  <si>
    <t>Podnośnik T-70</t>
  </si>
  <si>
    <t>Podnośnik T-65</t>
  </si>
  <si>
    <t>Podnośnik S-35</t>
  </si>
  <si>
    <t>Front lity (drewno/płyta)</t>
  </si>
  <si>
    <t>Rama alum. 19 mm</t>
  </si>
  <si>
    <t>Wykonanie</t>
  </si>
  <si>
    <t>Front</t>
  </si>
  <si>
    <t>Uchwyt</t>
  </si>
  <si>
    <t>Długość</t>
  </si>
  <si>
    <t>Szerokość</t>
  </si>
  <si>
    <t>Wysokość</t>
  </si>
  <si>
    <t>Grubość</t>
  </si>
  <si>
    <t>Materiał</t>
  </si>
  <si>
    <t>Ciężar</t>
  </si>
  <si>
    <t>Wybrany podnośnik nie obsługuje frontów o zadanych wymiarach</t>
  </si>
  <si>
    <t>Wybrany podnośnik nie obsługuje frontów o zadanym ciężarze</t>
  </si>
  <si>
    <t>* Przyjęty ciężar odpowiada średnim wartościom. 
  Faktyczne wartości mogą odbiegać od przyjętych. 
   Zalecamy wykonanie próby.</t>
  </si>
  <si>
    <t>Rozwiązania z</t>
  </si>
  <si>
    <t>Rozwiązanie z</t>
  </si>
  <si>
    <t>Wysokość korpusu</t>
  </si>
  <si>
    <t>Ciężar frontu</t>
  </si>
  <si>
    <t>Podnośnik</t>
  </si>
  <si>
    <t>Potrzebne będą również</t>
  </si>
  <si>
    <t>Polecamy:</t>
  </si>
  <si>
    <t>zawias</t>
  </si>
  <si>
    <t>oraz</t>
  </si>
  <si>
    <t>prowadnik</t>
  </si>
  <si>
    <t>wyliczony ciężar</t>
  </si>
  <si>
    <t>ręczne wprowadzenie:</t>
  </si>
  <si>
    <t>razem:</t>
  </si>
  <si>
    <t>Rekomendacja</t>
  </si>
  <si>
    <t>← powrót</t>
  </si>
  <si>
    <t>Informacja</t>
  </si>
  <si>
    <t>Numer do zamówienia</t>
  </si>
  <si>
    <t>Strona</t>
  </si>
  <si>
    <t>Zestaw (prawy+lewy)</t>
  </si>
  <si>
    <t>Lewy</t>
  </si>
  <si>
    <t>Ramię Typ 1</t>
  </si>
  <si>
    <t>Ramię Typ 2</t>
  </si>
  <si>
    <t>Ramię Typ 3</t>
  </si>
  <si>
    <t>Ramię Typ 4</t>
  </si>
  <si>
    <t>Ramię Typ 5</t>
  </si>
  <si>
    <t>Ramię Typ 6</t>
  </si>
  <si>
    <t>Ramię Typ 7</t>
  </si>
  <si>
    <t>Siłownik A</t>
  </si>
  <si>
    <t>Siłownik B</t>
  </si>
  <si>
    <t>Siłownik C</t>
  </si>
  <si>
    <t>Siłownik D</t>
  </si>
  <si>
    <t>Siłownik E</t>
  </si>
  <si>
    <t>Sprężyna standard</t>
  </si>
  <si>
    <t>Sprężyna czarna</t>
  </si>
  <si>
    <t>Sprężyna biała</t>
  </si>
  <si>
    <t>Sprężyna pomarańczowa</t>
  </si>
  <si>
    <t>Sprężyna żółta jednostronnie</t>
  </si>
  <si>
    <t>Sprężyna żółta dwustronnie</t>
  </si>
  <si>
    <t>Sprężyna czarna dwustronnie</t>
  </si>
  <si>
    <t>nastawialna</t>
  </si>
  <si>
    <t>1 podnośnik T-105</t>
  </si>
  <si>
    <t>2 podnośniki T-105</t>
  </si>
  <si>
    <t>Adapter do ram aluminiowych, do Kinvaro L-80 zest.</t>
  </si>
  <si>
    <t>Adapter do ram aluminiowych, do Kinvaro F-20 zest.</t>
  </si>
  <si>
    <t>Adapter do ram aluminiowych, do Kinvaro T-76 zest.</t>
  </si>
  <si>
    <t>Adapter do ram aluminiowych, do Kinvaro T-71 zest.</t>
  </si>
  <si>
    <t>Adapter do ram aluminiowych, do Kinvaro S-35 zest.</t>
  </si>
  <si>
    <t>podnośnik T-105 prawy</t>
  </si>
  <si>
    <t>płyta wiórowa</t>
  </si>
  <si>
    <t>świerk/sosna</t>
  </si>
  <si>
    <t>szkło</t>
  </si>
  <si>
    <t>afrormosia</t>
  </si>
  <si>
    <t>klon</t>
  </si>
  <si>
    <t>lipa amerykańska</t>
  </si>
  <si>
    <t>jabłoń</t>
  </si>
  <si>
    <t>balsa</t>
  </si>
  <si>
    <t>bambus</t>
  </si>
  <si>
    <t>brzoza</t>
  </si>
  <si>
    <t>grusza</t>
  </si>
  <si>
    <t>buk</t>
  </si>
  <si>
    <t>daglezja</t>
  </si>
  <si>
    <t>heban</t>
  </si>
  <si>
    <t>olcha</t>
  </si>
  <si>
    <t>jesion</t>
  </si>
  <si>
    <t>osika</t>
  </si>
  <si>
    <t>świerk</t>
  </si>
  <si>
    <t>okume</t>
  </si>
  <si>
    <t>choina (hemlock)</t>
  </si>
  <si>
    <t>iroko</t>
  </si>
  <si>
    <t>kasztan</t>
  </si>
  <si>
    <t>sosna</t>
  </si>
  <si>
    <t>czereśnia</t>
  </si>
  <si>
    <t>modrzew</t>
  </si>
  <si>
    <t>mahoń</t>
  </si>
  <si>
    <t>sekwoja</t>
  </si>
  <si>
    <t>topola</t>
  </si>
  <si>
    <t>topola kanadyjska</t>
  </si>
  <si>
    <t>hikora</t>
  </si>
  <si>
    <t>platan</t>
  </si>
  <si>
    <t>gwajak</t>
  </si>
  <si>
    <t>ramin</t>
  </si>
  <si>
    <t>robinia (akacja)</t>
  </si>
  <si>
    <t>jodła</t>
  </si>
  <si>
    <t>teak</t>
  </si>
  <si>
    <t>wiąz</t>
  </si>
  <si>
    <t>orzech</t>
  </si>
  <si>
    <t>wierzba</t>
  </si>
  <si>
    <t>cedr</t>
  </si>
  <si>
    <t>cyprys</t>
  </si>
  <si>
    <t>• Otwiera front w pozycji równoległej do korpusu
• Możliwość zastosowania do zabudowania niszy, by zakryć sprzęt elektryczny  oraz przy stosowaniu listew ozdobnych i dodatkowego oświetlenia
• Niezwykle delikatny ruch podnośnika 
• Wysoka stabilność 
• Zintegrowany, regulowalny  hamulec opuszczania frontu</t>
  </si>
  <si>
    <t>Nachodz. frontu mm</t>
  </si>
  <si>
    <t xml:space="preserve">Siłownik/sprężyna </t>
  </si>
  <si>
    <t>zawias do ramy aluminiowej</t>
  </si>
  <si>
    <t>dostępne opakowanie przemysłowe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</si>
</sst>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\ &quot;kg&quot;"/>
    <numFmt numFmtId="166" formatCode="0\ &quot;g&quot;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9"/>
      <color indexed="81"/>
      <name val="Tahoma"/>
      <family val="2"/>
    </font>
    <font>
      <strike/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name val="Calibri"/>
      <family val="2"/>
      <scheme val="minor"/>
    </font>
    <font>
      <sz val="9"/>
      <color rgb="FF008028"/>
      <name val="Calibri"/>
      <family val="2"/>
      <scheme val="minor"/>
    </font>
    <font>
      <sz val="12"/>
      <color theme="6" tint="0.3999755851924192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8"/>
      <color rgb="FF00601E"/>
      <name val="Wingdings"/>
      <charset val="2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rgb="FFC092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10"/>
      <name val="Calibri"/>
      <family val="2"/>
    </font>
    <font>
      <strike/>
      <sz val="11"/>
      <color indexed="8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802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00601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FF00"/>
      </left>
      <right style="thick">
        <color rgb="FFFFFF00"/>
      </right>
      <top style="thick">
        <color rgb="FFFFFF00"/>
      </top>
      <bottom style="thick">
        <color rgb="FFFFFF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8028"/>
      </left>
      <right/>
      <top/>
      <bottom/>
      <diagonal/>
    </border>
    <border>
      <left style="thin">
        <color rgb="FF008028"/>
      </left>
      <right/>
      <top/>
      <bottom style="thin">
        <color indexed="64"/>
      </bottom>
      <diagonal/>
    </border>
    <border>
      <left/>
      <right style="thin">
        <color rgb="FF008028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medium">
        <color theme="1"/>
      </top>
      <bottom/>
      <diagonal/>
    </border>
    <border>
      <left style="thick">
        <color indexed="64"/>
      </left>
      <right/>
      <top/>
      <bottom style="medium">
        <color theme="1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theme="1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8028"/>
      </bottom>
      <diagonal/>
    </border>
    <border>
      <left/>
      <right style="thick">
        <color rgb="FF008028"/>
      </right>
      <top style="thick">
        <color rgb="FF008028"/>
      </top>
      <bottom/>
      <diagonal/>
    </border>
    <border>
      <left/>
      <right style="thick">
        <color rgb="FF008028"/>
      </right>
      <top/>
      <bottom style="thick">
        <color rgb="FF008028"/>
      </bottom>
      <diagonal/>
    </border>
    <border>
      <left/>
      <right/>
      <top style="medium">
        <color rgb="FF008028"/>
      </top>
      <bottom style="medium">
        <color rgb="FF008028"/>
      </bottom>
      <diagonal/>
    </border>
    <border>
      <left style="thick">
        <color rgb="FF92D050"/>
      </left>
      <right/>
      <top style="thick">
        <color rgb="FF92D050"/>
      </top>
      <bottom/>
      <diagonal/>
    </border>
    <border>
      <left/>
      <right/>
      <top style="thick">
        <color rgb="FF92D050"/>
      </top>
      <bottom/>
      <diagonal/>
    </border>
    <border>
      <left/>
      <right style="thick">
        <color rgb="FF92D050"/>
      </right>
      <top style="thick">
        <color rgb="FF92D050"/>
      </top>
      <bottom/>
      <diagonal/>
    </border>
    <border>
      <left style="thick">
        <color rgb="FF92D050"/>
      </left>
      <right/>
      <top/>
      <bottom style="thick">
        <color rgb="FF92D050"/>
      </bottom>
      <diagonal/>
    </border>
    <border>
      <left/>
      <right/>
      <top/>
      <bottom style="thick">
        <color rgb="FF92D050"/>
      </bottom>
      <diagonal/>
    </border>
    <border>
      <left/>
      <right style="thick">
        <color rgb="FF92D050"/>
      </right>
      <top/>
      <bottom style="thick">
        <color rgb="FF92D05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rgb="FF008028"/>
      </top>
      <bottom/>
      <diagonal/>
    </border>
    <border>
      <left/>
      <right/>
      <top/>
      <bottom style="thick">
        <color rgb="FF00601E"/>
      </bottom>
      <diagonal/>
    </border>
    <border>
      <left style="thin">
        <color rgb="FF00601E"/>
      </left>
      <right/>
      <top style="thin">
        <color rgb="FF00601E"/>
      </top>
      <bottom style="thin">
        <color rgb="FF00601E"/>
      </bottom>
      <diagonal/>
    </border>
    <border>
      <left/>
      <right/>
      <top style="thin">
        <color rgb="FF00601E"/>
      </top>
      <bottom style="thin">
        <color rgb="FF00601E"/>
      </bottom>
      <diagonal/>
    </border>
    <border>
      <left/>
      <right style="thin">
        <color rgb="FF00601E"/>
      </right>
      <top style="thin">
        <color rgb="FF00601E"/>
      </top>
      <bottom style="thin">
        <color rgb="FF00601E"/>
      </bottom>
      <diagonal/>
    </border>
    <border>
      <left/>
      <right style="medium">
        <color rgb="FF008028"/>
      </right>
      <top style="medium">
        <color rgb="FF008028"/>
      </top>
      <bottom style="medium">
        <color rgb="FF008028"/>
      </bottom>
      <diagonal/>
    </border>
    <border>
      <left style="medium">
        <color rgb="FF008028"/>
      </left>
      <right/>
      <top style="medium">
        <color rgb="FF008028"/>
      </top>
      <bottom style="medium">
        <color rgb="FF008028"/>
      </bottom>
      <diagonal/>
    </border>
    <border>
      <left/>
      <right style="thick">
        <color rgb="FF008028"/>
      </right>
      <top/>
      <bottom/>
      <diagonal/>
    </border>
    <border>
      <left/>
      <right/>
      <top/>
      <bottom style="thick">
        <color rgb="FF008028"/>
      </bottom>
      <diagonal/>
    </border>
    <border>
      <left/>
      <right/>
      <top style="thick">
        <color rgb="FF008028"/>
      </top>
      <bottom style="thick">
        <color rgb="FF00601E"/>
      </bottom>
      <diagonal/>
    </border>
    <border>
      <left style="thick">
        <color rgb="FF92D050"/>
      </left>
      <right/>
      <top/>
      <bottom/>
      <diagonal/>
    </border>
    <border>
      <left/>
      <right style="thick">
        <color rgb="FF92D050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4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164" fontId="0" fillId="0" borderId="1" xfId="0" applyNumberFormat="1" applyBorder="1"/>
    <xf numFmtId="164" fontId="0" fillId="0" borderId="2" xfId="0" applyNumberFormat="1" applyBorder="1"/>
    <xf numFmtId="0" fontId="0" fillId="0" borderId="6" xfId="0" applyBorder="1"/>
    <xf numFmtId="0" fontId="0" fillId="2" borderId="0" xfId="0" applyFill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/>
    <xf numFmtId="0" fontId="0" fillId="0" borderId="0" xfId="0" applyFill="1"/>
    <xf numFmtId="0" fontId="0" fillId="3" borderId="0" xfId="0" applyFill="1"/>
    <xf numFmtId="0" fontId="0" fillId="0" borderId="0" xfId="0" applyBorder="1" applyAlignment="1">
      <alignment horizontal="center"/>
    </xf>
    <xf numFmtId="0" fontId="0" fillId="0" borderId="10" xfId="0" applyBorder="1"/>
    <xf numFmtId="0" fontId="0" fillId="0" borderId="14" xfId="0" applyBorder="1" applyAlignment="1">
      <alignment textRotation="45"/>
    </xf>
    <xf numFmtId="0" fontId="0" fillId="0" borderId="13" xfId="0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6" borderId="0" xfId="0" applyFont="1" applyFill="1" applyBorder="1" applyAlignment="1">
      <alignment horizontal="center"/>
    </xf>
    <xf numFmtId="0" fontId="0" fillId="6" borderId="0" xfId="0" applyFont="1" applyFill="1" applyBorder="1"/>
    <xf numFmtId="0" fontId="0" fillId="6" borderId="2" xfId="0" applyFont="1" applyFill="1" applyBorder="1"/>
    <xf numFmtId="164" fontId="0" fillId="6" borderId="2" xfId="0" applyNumberFormat="1" applyFont="1" applyFill="1" applyBorder="1"/>
    <xf numFmtId="0" fontId="0" fillId="6" borderId="2" xfId="0" applyFont="1" applyFill="1" applyBorder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2" xfId="0" applyFont="1" applyBorder="1"/>
    <xf numFmtId="164" fontId="0" fillId="0" borderId="2" xfId="0" applyNumberFormat="1" applyFont="1" applyBorder="1"/>
    <xf numFmtId="0" fontId="0" fillId="0" borderId="2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/>
    <xf numFmtId="0" fontId="0" fillId="0" borderId="6" xfId="0" applyFont="1" applyBorder="1"/>
    <xf numFmtId="164" fontId="0" fillId="0" borderId="7" xfId="0" applyNumberFormat="1" applyFont="1" applyBorder="1"/>
    <xf numFmtId="0" fontId="0" fillId="0" borderId="7" xfId="0" applyFont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1" fontId="0" fillId="0" borderId="2" xfId="0" applyNumberFormat="1" applyBorder="1"/>
    <xf numFmtId="164" fontId="0" fillId="0" borderId="0" xfId="0" applyNumberFormat="1" applyBorder="1"/>
    <xf numFmtId="0" fontId="7" fillId="5" borderId="20" xfId="0" applyFont="1" applyFill="1" applyBorder="1" applyAlignment="1">
      <alignment horizontal="center" textRotation="60"/>
    </xf>
    <xf numFmtId="0" fontId="7" fillId="5" borderId="21" xfId="0" applyFont="1" applyFill="1" applyBorder="1" applyAlignment="1">
      <alignment horizontal="center" textRotation="60"/>
    </xf>
    <xf numFmtId="0" fontId="7" fillId="5" borderId="20" xfId="0" applyFont="1" applyFill="1" applyBorder="1" applyAlignment="1">
      <alignment textRotation="60"/>
    </xf>
    <xf numFmtId="0" fontId="9" fillId="5" borderId="20" xfId="0" applyFont="1" applyFill="1" applyBorder="1" applyAlignment="1">
      <alignment textRotation="60"/>
    </xf>
    <xf numFmtId="0" fontId="7" fillId="5" borderId="21" xfId="0" applyFont="1" applyFill="1" applyBorder="1" applyAlignment="1">
      <alignment textRotation="60"/>
    </xf>
    <xf numFmtId="164" fontId="7" fillId="5" borderId="20" xfId="0" applyNumberFormat="1" applyFont="1" applyFill="1" applyBorder="1" applyAlignment="1">
      <alignment textRotation="60"/>
    </xf>
    <xf numFmtId="0" fontId="0" fillId="6" borderId="20" xfId="0" applyFont="1" applyFill="1" applyBorder="1" applyAlignment="1">
      <alignment horizontal="center"/>
    </xf>
    <xf numFmtId="0" fontId="0" fillId="6" borderId="21" xfId="0" applyFont="1" applyFill="1" applyBorder="1" applyAlignment="1">
      <alignment horizontal="center"/>
    </xf>
    <xf numFmtId="0" fontId="0" fillId="6" borderId="20" xfId="0" applyFont="1" applyFill="1" applyBorder="1"/>
    <xf numFmtId="0" fontId="0" fillId="6" borderId="21" xfId="0" applyFont="1" applyFill="1" applyBorder="1"/>
    <xf numFmtId="164" fontId="0" fillId="6" borderId="20" xfId="0" applyNumberFormat="1" applyFont="1" applyFill="1" applyBorder="1"/>
    <xf numFmtId="164" fontId="0" fillId="6" borderId="21" xfId="0" applyNumberFormat="1" applyFont="1" applyFill="1" applyBorder="1"/>
    <xf numFmtId="164" fontId="0" fillId="0" borderId="0" xfId="0" applyNumberFormat="1" applyFont="1" applyBorder="1"/>
    <xf numFmtId="164" fontId="0" fillId="6" borderId="0" xfId="0" applyNumberFormat="1" applyFont="1" applyFill="1" applyBorder="1"/>
    <xf numFmtId="0" fontId="0" fillId="6" borderId="12" xfId="0" applyFont="1" applyFill="1" applyBorder="1" applyAlignment="1">
      <alignment horizontal="center"/>
    </xf>
    <xf numFmtId="0" fontId="0" fillId="6" borderId="12" xfId="0" applyFont="1" applyFill="1" applyBorder="1"/>
    <xf numFmtId="0" fontId="0" fillId="6" borderId="11" xfId="0" applyFont="1" applyFill="1" applyBorder="1"/>
    <xf numFmtId="164" fontId="0" fillId="6" borderId="12" xfId="0" applyNumberFormat="1" applyFont="1" applyFill="1" applyBorder="1"/>
    <xf numFmtId="164" fontId="0" fillId="6" borderId="11" xfId="0" applyNumberFormat="1" applyFont="1" applyFill="1" applyBorder="1"/>
    <xf numFmtId="0" fontId="0" fillId="6" borderId="22" xfId="0" applyFont="1" applyFill="1" applyBorder="1" applyAlignment="1">
      <alignment horizontal="center"/>
    </xf>
    <xf numFmtId="0" fontId="0" fillId="6" borderId="23" xfId="0" applyFont="1" applyFill="1" applyBorder="1" applyAlignment="1">
      <alignment horizontal="center"/>
    </xf>
    <xf numFmtId="0" fontId="0" fillId="6" borderId="22" xfId="0" applyFont="1" applyFill="1" applyBorder="1"/>
    <xf numFmtId="0" fontId="0" fillId="6" borderId="23" xfId="0" applyFont="1" applyFill="1" applyBorder="1"/>
    <xf numFmtId="164" fontId="0" fillId="6" borderId="22" xfId="0" applyNumberFormat="1" applyFont="1" applyFill="1" applyBorder="1"/>
    <xf numFmtId="164" fontId="0" fillId="6" borderId="23" xfId="0" applyNumberFormat="1" applyFont="1" applyFill="1" applyBorder="1"/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/>
    <xf numFmtId="0" fontId="0" fillId="0" borderId="11" xfId="0" applyFont="1" applyBorder="1"/>
    <xf numFmtId="164" fontId="0" fillId="0" borderId="12" xfId="0" applyNumberFormat="1" applyFont="1" applyBorder="1"/>
    <xf numFmtId="164" fontId="0" fillId="0" borderId="11" xfId="0" applyNumberFormat="1" applyFont="1" applyBorder="1"/>
    <xf numFmtId="0" fontId="0" fillId="0" borderId="22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2" xfId="0" applyFont="1" applyBorder="1"/>
    <xf numFmtId="0" fontId="0" fillId="0" borderId="23" xfId="0" applyFont="1" applyBorder="1"/>
    <xf numFmtId="164" fontId="0" fillId="0" borderId="22" xfId="0" applyNumberFormat="1" applyFont="1" applyBorder="1"/>
    <xf numFmtId="164" fontId="0" fillId="0" borderId="23" xfId="0" applyNumberFormat="1" applyFont="1" applyBorder="1"/>
    <xf numFmtId="164" fontId="0" fillId="0" borderId="6" xfId="0" applyNumberFormat="1" applyFont="1" applyBorder="1"/>
    <xf numFmtId="0" fontId="0" fillId="0" borderId="27" xfId="0" applyBorder="1"/>
    <xf numFmtId="0" fontId="7" fillId="5" borderId="28" xfId="0" applyFont="1" applyFill="1" applyBorder="1" applyAlignment="1">
      <alignment textRotation="60"/>
    </xf>
    <xf numFmtId="0" fontId="0" fillId="0" borderId="29" xfId="0" applyBorder="1"/>
    <xf numFmtId="0" fontId="0" fillId="3" borderId="2" xfId="0" applyFill="1" applyBorder="1"/>
    <xf numFmtId="0" fontId="0" fillId="0" borderId="0" xfId="0" applyBorder="1" applyAlignment="1">
      <alignment textRotation="45"/>
    </xf>
    <xf numFmtId="0" fontId="0" fillId="0" borderId="2" xfId="0" applyBorder="1" applyAlignment="1">
      <alignment textRotation="45"/>
    </xf>
    <xf numFmtId="0" fontId="11" fillId="0" borderId="8" xfId="0" applyFont="1" applyBorder="1"/>
    <xf numFmtId="0" fontId="11" fillId="0" borderId="0" xfId="0" applyFont="1"/>
    <xf numFmtId="0" fontId="0" fillId="3" borderId="0" xfId="0" applyFill="1" applyAlignment="1"/>
    <xf numFmtId="0" fontId="0" fillId="7" borderId="0" xfId="0" applyFill="1"/>
    <xf numFmtId="0" fontId="0" fillId="7" borderId="0" xfId="0" applyFill="1" applyAlignment="1"/>
    <xf numFmtId="0" fontId="8" fillId="3" borderId="0" xfId="0" applyFont="1" applyFill="1"/>
    <xf numFmtId="0" fontId="0" fillId="3" borderId="0" xfId="0" applyFill="1" applyBorder="1"/>
    <xf numFmtId="0" fontId="0" fillId="7" borderId="0" xfId="0" applyFill="1" applyAlignment="1">
      <alignment horizontal="center" vertical="center"/>
    </xf>
    <xf numFmtId="0" fontId="8" fillId="0" borderId="0" xfId="0" applyFont="1"/>
    <xf numFmtId="0" fontId="18" fillId="0" borderId="0" xfId="0" applyFont="1" applyFill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1" fillId="2" borderId="0" xfId="0" applyFont="1" applyFill="1"/>
    <xf numFmtId="0" fontId="1" fillId="0" borderId="17" xfId="0" applyFont="1" applyBorder="1"/>
    <xf numFmtId="0" fontId="4" fillId="0" borderId="1" xfId="1" applyFill="1" applyBorder="1"/>
    <xf numFmtId="0" fontId="20" fillId="3" borderId="0" xfId="1" applyFont="1" applyFill="1"/>
    <xf numFmtId="0" fontId="8" fillId="0" borderId="0" xfId="0" applyFont="1" applyBorder="1"/>
    <xf numFmtId="0" fontId="24" fillId="0" borderId="0" xfId="0" applyFont="1"/>
    <xf numFmtId="0" fontId="0" fillId="9" borderId="0" xfId="0" applyFill="1"/>
    <xf numFmtId="0" fontId="0" fillId="10" borderId="0" xfId="0" applyFill="1"/>
    <xf numFmtId="0" fontId="0" fillId="10" borderId="0" xfId="0" applyFill="1" applyBorder="1"/>
    <xf numFmtId="0" fontId="0" fillId="10" borderId="8" xfId="0" applyFill="1" applyBorder="1"/>
    <xf numFmtId="0" fontId="0" fillId="10" borderId="3" xfId="0" applyFill="1" applyBorder="1"/>
    <xf numFmtId="0" fontId="0" fillId="10" borderId="16" xfId="0" applyFill="1" applyBorder="1" applyAlignment="1">
      <alignment wrapText="1"/>
    </xf>
    <xf numFmtId="0" fontId="0" fillId="10" borderId="17" xfId="0" quotePrefix="1" applyFill="1" applyBorder="1" applyAlignment="1">
      <alignment wrapText="1"/>
    </xf>
    <xf numFmtId="0" fontId="0" fillId="10" borderId="49" xfId="0" applyFill="1" applyBorder="1" applyAlignment="1">
      <alignment wrapText="1"/>
    </xf>
    <xf numFmtId="0" fontId="0" fillId="10" borderId="5" xfId="0" applyFill="1" applyBorder="1"/>
    <xf numFmtId="49" fontId="0" fillId="10" borderId="16" xfId="0" applyNumberFormat="1" applyFill="1" applyBorder="1" applyAlignment="1">
      <alignment wrapText="1"/>
    </xf>
    <xf numFmtId="0" fontId="0" fillId="10" borderId="16" xfId="0" applyFill="1" applyBorder="1"/>
    <xf numFmtId="0" fontId="0" fillId="10" borderId="16" xfId="0" quotePrefix="1" applyFill="1" applyBorder="1" applyAlignment="1">
      <alignment wrapText="1"/>
    </xf>
    <xf numFmtId="0" fontId="0" fillId="10" borderId="17" xfId="0" applyFill="1" applyBorder="1"/>
    <xf numFmtId="0" fontId="0" fillId="10" borderId="1" xfId="0" applyFill="1" applyBorder="1"/>
    <xf numFmtId="0" fontId="0" fillId="10" borderId="17" xfId="0" applyFill="1" applyBorder="1" applyAlignment="1">
      <alignment wrapText="1"/>
    </xf>
    <xf numFmtId="0" fontId="0" fillId="10" borderId="0" xfId="0" applyFill="1" applyAlignment="1">
      <alignment wrapText="1"/>
    </xf>
    <xf numFmtId="0" fontId="0" fillId="0" borderId="0" xfId="0" applyFill="1" applyBorder="1"/>
    <xf numFmtId="0" fontId="4" fillId="0" borderId="0" xfId="1" applyFill="1"/>
    <xf numFmtId="0" fontId="0" fillId="0" borderId="3" xfId="0" applyFill="1" applyBorder="1"/>
    <xf numFmtId="0" fontId="4" fillId="0" borderId="5" xfId="1" applyFill="1" applyBorder="1"/>
    <xf numFmtId="0" fontId="0" fillId="0" borderId="5" xfId="0" applyFill="1" applyBorder="1"/>
    <xf numFmtId="0" fontId="0" fillId="0" borderId="8" xfId="0" applyFill="1" applyBorder="1"/>
    <xf numFmtId="0" fontId="4" fillId="0" borderId="8" xfId="1" applyFill="1" applyBorder="1"/>
    <xf numFmtId="0" fontId="4" fillId="0" borderId="3" xfId="1" applyFill="1" applyBorder="1"/>
    <xf numFmtId="0" fontId="0" fillId="10" borderId="49" xfId="0" quotePrefix="1" applyFill="1" applyBorder="1" applyAlignment="1">
      <alignment wrapText="1"/>
    </xf>
    <xf numFmtId="15" fontId="0" fillId="10" borderId="17" xfId="0" quotePrefix="1" applyNumberFormat="1" applyFill="1" applyBorder="1" applyAlignment="1">
      <alignment wrapText="1"/>
    </xf>
    <xf numFmtId="0" fontId="0" fillId="11" borderId="0" xfId="0" applyFill="1"/>
    <xf numFmtId="0" fontId="0" fillId="11" borderId="9" xfId="0" applyFill="1" applyBorder="1"/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0" fillId="3" borderId="31" xfId="0" applyFill="1" applyBorder="1"/>
    <xf numFmtId="0" fontId="0" fillId="3" borderId="32" xfId="0" applyFill="1" applyBorder="1"/>
    <xf numFmtId="0" fontId="0" fillId="3" borderId="57" xfId="0" applyFill="1" applyBorder="1"/>
    <xf numFmtId="0" fontId="0" fillId="0" borderId="0" xfId="0" quotePrefix="1"/>
    <xf numFmtId="0" fontId="28" fillId="0" borderId="0" xfId="0" applyFont="1" applyAlignment="1">
      <alignment horizontal="left" vertical="center" readingOrder="1"/>
    </xf>
    <xf numFmtId="0" fontId="1" fillId="0" borderId="0" xfId="0" applyFont="1" applyAlignment="1">
      <alignment horizontal="right"/>
    </xf>
    <xf numFmtId="0" fontId="7" fillId="5" borderId="3" xfId="0" applyFont="1" applyFill="1" applyBorder="1" applyAlignment="1">
      <alignment textRotation="60"/>
    </xf>
    <xf numFmtId="0" fontId="7" fillId="5" borderId="0" xfId="0" applyFont="1" applyFill="1" applyBorder="1" applyAlignment="1">
      <alignment textRotation="60"/>
    </xf>
    <xf numFmtId="0" fontId="29" fillId="0" borderId="0" xfId="0" applyFont="1"/>
    <xf numFmtId="0" fontId="29" fillId="0" borderId="0" xfId="0" applyFont="1" applyBorder="1"/>
    <xf numFmtId="0" fontId="29" fillId="0" borderId="5" xfId="0" applyFont="1" applyBorder="1"/>
    <xf numFmtId="0" fontId="30" fillId="5" borderId="25" xfId="0" applyFont="1" applyFill="1" applyBorder="1" applyAlignment="1">
      <alignment textRotation="60"/>
    </xf>
    <xf numFmtId="0" fontId="30" fillId="5" borderId="20" xfId="0" applyFont="1" applyFill="1" applyBorder="1" applyAlignment="1">
      <alignment textRotation="60"/>
    </xf>
    <xf numFmtId="0" fontId="31" fillId="6" borderId="25" xfId="0" applyFont="1" applyFill="1" applyBorder="1"/>
    <xf numFmtId="0" fontId="31" fillId="6" borderId="21" xfId="0" applyFont="1" applyFill="1" applyBorder="1"/>
    <xf numFmtId="0" fontId="31" fillId="6" borderId="20" xfId="0" applyFont="1" applyFill="1" applyBorder="1"/>
    <xf numFmtId="0" fontId="31" fillId="0" borderId="24" xfId="0" applyFont="1" applyBorder="1"/>
    <xf numFmtId="0" fontId="31" fillId="0" borderId="0" xfId="0" applyFont="1" applyBorder="1"/>
    <xf numFmtId="0" fontId="31" fillId="0" borderId="2" xfId="0" applyFont="1" applyBorder="1"/>
    <xf numFmtId="0" fontId="31" fillId="6" borderId="24" xfId="0" applyFont="1" applyFill="1" applyBorder="1"/>
    <xf numFmtId="0" fontId="31" fillId="6" borderId="0" xfId="0" applyFont="1" applyFill="1" applyBorder="1"/>
    <xf numFmtId="0" fontId="31" fillId="6" borderId="2" xfId="0" applyFont="1" applyFill="1" applyBorder="1"/>
    <xf numFmtId="0" fontId="31" fillId="0" borderId="26" xfId="0" applyFont="1" applyBorder="1"/>
    <xf numFmtId="0" fontId="31" fillId="0" borderId="18" xfId="0" applyFont="1" applyBorder="1"/>
    <xf numFmtId="0" fontId="31" fillId="0" borderId="19" xfId="0" applyFont="1" applyBorder="1"/>
    <xf numFmtId="0" fontId="31" fillId="0" borderId="0" xfId="0" applyFont="1"/>
    <xf numFmtId="0" fontId="30" fillId="5" borderId="20" xfId="0" applyFont="1" applyFill="1" applyBorder="1" applyAlignment="1">
      <alignment horizontal="center" textRotation="60"/>
    </xf>
    <xf numFmtId="0" fontId="30" fillId="5" borderId="21" xfId="0" applyFont="1" applyFill="1" applyBorder="1" applyAlignment="1">
      <alignment horizontal="center" textRotation="60"/>
    </xf>
    <xf numFmtId="0" fontId="31" fillId="6" borderId="20" xfId="0" applyFont="1" applyFill="1" applyBorder="1" applyAlignment="1">
      <alignment horizontal="center"/>
    </xf>
    <xf numFmtId="0" fontId="31" fillId="6" borderId="21" xfId="0" applyFont="1" applyFill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31" fillId="6" borderId="2" xfId="0" applyFont="1" applyFill="1" applyBorder="1" applyAlignment="1">
      <alignment horizontal="center"/>
    </xf>
    <xf numFmtId="0" fontId="31" fillId="6" borderId="0" xfId="0" applyFont="1" applyFill="1" applyBorder="1" applyAlignment="1">
      <alignment horizontal="center"/>
    </xf>
    <xf numFmtId="0" fontId="31" fillId="6" borderId="12" xfId="0" applyFont="1" applyFill="1" applyBorder="1" applyAlignment="1">
      <alignment horizontal="center"/>
    </xf>
    <xf numFmtId="0" fontId="31" fillId="6" borderId="11" xfId="0" applyFont="1" applyFill="1" applyBorder="1" applyAlignment="1">
      <alignment horizontal="center"/>
    </xf>
    <xf numFmtId="0" fontId="31" fillId="6" borderId="22" xfId="0" applyFont="1" applyFill="1" applyBorder="1" applyAlignment="1">
      <alignment horizontal="center"/>
    </xf>
    <xf numFmtId="0" fontId="31" fillId="6" borderId="23" xfId="0" applyFont="1" applyFill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1" fillId="0" borderId="22" xfId="0" applyFont="1" applyBorder="1" applyAlignment="1">
      <alignment horizontal="center"/>
    </xf>
    <xf numFmtId="0" fontId="31" fillId="0" borderId="23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31" fillId="0" borderId="6" xfId="0" applyFont="1" applyBorder="1" applyAlignment="1">
      <alignment horizontal="center"/>
    </xf>
    <xf numFmtId="0" fontId="32" fillId="5" borderId="20" xfId="0" applyFont="1" applyFill="1" applyBorder="1" applyAlignment="1">
      <alignment textRotation="60"/>
    </xf>
    <xf numFmtId="0" fontId="33" fillId="0" borderId="2" xfId="0" applyFont="1" applyBorder="1"/>
    <xf numFmtId="0" fontId="33" fillId="0" borderId="0" xfId="0" applyFont="1"/>
    <xf numFmtId="0" fontId="0" fillId="12" borderId="0" xfId="0" applyFill="1"/>
    <xf numFmtId="0" fontId="0" fillId="13" borderId="0" xfId="0" applyFill="1"/>
    <xf numFmtId="0" fontId="18" fillId="13" borderId="0" xfId="0" applyFont="1" applyFill="1"/>
    <xf numFmtId="0" fontId="34" fillId="2" borderId="0" xfId="0" applyFont="1" applyFill="1"/>
    <xf numFmtId="0" fontId="0" fillId="11" borderId="9" xfId="0" applyFill="1" applyBorder="1" applyAlignment="1">
      <alignment wrapText="1"/>
    </xf>
    <xf numFmtId="0" fontId="29" fillId="0" borderId="3" xfId="0" applyFont="1" applyFill="1" applyBorder="1"/>
    <xf numFmtId="0" fontId="0" fillId="3" borderId="0" xfId="0" applyFill="1" applyProtection="1">
      <protection hidden="1"/>
    </xf>
    <xf numFmtId="0" fontId="7" fillId="3" borderId="0" xfId="0" applyFont="1" applyFill="1" applyAlignment="1" applyProtection="1">
      <protection hidden="1"/>
    </xf>
    <xf numFmtId="0" fontId="8" fillId="3" borderId="0" xfId="0" applyFont="1" applyFill="1" applyProtection="1">
      <protection hidden="1"/>
    </xf>
    <xf numFmtId="0" fontId="8" fillId="3" borderId="0" xfId="0" applyFont="1" applyFill="1" applyAlignment="1" applyProtection="1">
      <protection hidden="1"/>
    </xf>
    <xf numFmtId="0" fontId="7" fillId="7" borderId="30" xfId="0" applyFont="1" applyFill="1" applyBorder="1" applyAlignment="1" applyProtection="1">
      <alignment vertical="center"/>
      <protection hidden="1"/>
    </xf>
    <xf numFmtId="0" fontId="0" fillId="7" borderId="30" xfId="0" applyFill="1" applyBorder="1" applyAlignment="1" applyProtection="1">
      <alignment vertical="center"/>
      <protection hidden="1"/>
    </xf>
    <xf numFmtId="0" fontId="8" fillId="7" borderId="30" xfId="0" applyFont="1" applyFill="1" applyBorder="1" applyAlignment="1" applyProtection="1">
      <alignment vertical="center"/>
      <protection hidden="1"/>
    </xf>
    <xf numFmtId="0" fontId="0" fillId="7" borderId="1" xfId="0" applyFill="1" applyBorder="1" applyProtection="1">
      <protection hidden="1"/>
    </xf>
    <xf numFmtId="0" fontId="0" fillId="7" borderId="0" xfId="0" applyFill="1" applyBorder="1" applyProtection="1">
      <protection hidden="1"/>
    </xf>
    <xf numFmtId="0" fontId="7" fillId="7" borderId="0" xfId="0" applyFont="1" applyFill="1" applyAlignment="1" applyProtection="1">
      <alignment vertical="center"/>
      <protection hidden="1"/>
    </xf>
    <xf numFmtId="0" fontId="0" fillId="7" borderId="0" xfId="0" applyFill="1" applyProtection="1">
      <protection hidden="1"/>
    </xf>
    <xf numFmtId="0" fontId="25" fillId="3" borderId="0" xfId="0" applyFont="1" applyFill="1" applyAlignment="1" applyProtection="1">
      <alignment vertical="center"/>
      <protection hidden="1"/>
    </xf>
    <xf numFmtId="0" fontId="0" fillId="3" borderId="0" xfId="0" applyFill="1" applyAlignment="1" applyProtection="1">
      <protection hidden="1"/>
    </xf>
    <xf numFmtId="0" fontId="1" fillId="3" borderId="0" xfId="0" applyFont="1" applyFill="1" applyAlignment="1" applyProtection="1">
      <protection hidden="1"/>
    </xf>
    <xf numFmtId="0" fontId="8" fillId="3" borderId="53" xfId="0" applyFont="1" applyFill="1" applyBorder="1" applyAlignment="1" applyProtection="1">
      <alignment vertical="center"/>
      <protection hidden="1"/>
    </xf>
    <xf numFmtId="0" fontId="0" fillId="3" borderId="53" xfId="0" applyFill="1" applyBorder="1" applyProtection="1">
      <protection hidden="1"/>
    </xf>
    <xf numFmtId="0" fontId="0" fillId="3" borderId="54" xfId="0" applyFill="1" applyBorder="1" applyProtection="1">
      <protection hidden="1"/>
    </xf>
    <xf numFmtId="0" fontId="0" fillId="7" borderId="58" xfId="0" applyFill="1" applyBorder="1" applyProtection="1">
      <protection hidden="1"/>
    </xf>
    <xf numFmtId="0" fontId="21" fillId="7" borderId="58" xfId="0" applyFont="1" applyFill="1" applyBorder="1" applyAlignment="1" applyProtection="1">
      <alignment horizontal="left" vertical="top"/>
      <protection hidden="1"/>
    </xf>
    <xf numFmtId="165" fontId="15" fillId="7" borderId="0" xfId="0" applyNumberFormat="1" applyFont="1" applyFill="1" applyBorder="1" applyAlignment="1" applyProtection="1">
      <alignment horizontal="center" vertical="center"/>
      <protection hidden="1"/>
    </xf>
    <xf numFmtId="0" fontId="21" fillId="7" borderId="0" xfId="0" applyFont="1" applyFill="1" applyBorder="1" applyAlignment="1" applyProtection="1">
      <alignment horizontal="left" vertical="top"/>
      <protection hidden="1"/>
    </xf>
    <xf numFmtId="166" fontId="3" fillId="7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Protection="1">
      <protection hidden="1"/>
    </xf>
    <xf numFmtId="165" fontId="16" fillId="7" borderId="59" xfId="0" applyNumberFormat="1" applyFont="1" applyFill="1" applyBorder="1" applyAlignment="1" applyProtection="1">
      <alignment horizontal="center" vertical="center"/>
      <protection hidden="1"/>
    </xf>
    <xf numFmtId="0" fontId="7" fillId="7" borderId="51" xfId="0" applyFont="1" applyFill="1" applyBorder="1" applyAlignment="1" applyProtection="1">
      <alignment horizontal="right" vertical="center"/>
      <protection hidden="1"/>
    </xf>
    <xf numFmtId="0" fontId="14" fillId="3" borderId="0" xfId="0" applyFont="1" applyFill="1" applyAlignment="1" applyProtection="1">
      <alignment horizontal="left" vertical="center"/>
      <protection hidden="1"/>
    </xf>
    <xf numFmtId="0" fontId="0" fillId="3" borderId="38" xfId="0" applyFill="1" applyBorder="1" applyProtection="1"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13" fillId="3" borderId="38" xfId="0" applyFont="1" applyFill="1" applyBorder="1" applyAlignment="1" applyProtection="1">
      <alignment vertical="center"/>
      <protection hidden="1"/>
    </xf>
    <xf numFmtId="0" fontId="0" fillId="0" borderId="37" xfId="0" applyBorder="1" applyAlignment="1" applyProtection="1">
      <protection hidden="1"/>
    </xf>
    <xf numFmtId="0" fontId="0" fillId="0" borderId="38" xfId="0" applyBorder="1" applyAlignment="1" applyProtection="1">
      <protection hidden="1"/>
    </xf>
    <xf numFmtId="0" fontId="0" fillId="0" borderId="38" xfId="0" applyBorder="1" applyProtection="1">
      <protection hidden="1"/>
    </xf>
    <xf numFmtId="0" fontId="0" fillId="0" borderId="39" xfId="0" applyBorder="1" applyAlignment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protection hidden="1"/>
    </xf>
    <xf numFmtId="0" fontId="8" fillId="7" borderId="0" xfId="0" applyFont="1" applyFill="1" applyProtection="1">
      <protection hidden="1"/>
    </xf>
    <xf numFmtId="0" fontId="8" fillId="7" borderId="0" xfId="0" applyFont="1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17" fillId="3" borderId="0" xfId="1" applyFont="1" applyFill="1" applyProtection="1">
      <protection hidden="1"/>
    </xf>
    <xf numFmtId="0" fontId="0" fillId="0" borderId="17" xfId="0" applyFill="1" applyBorder="1"/>
    <xf numFmtId="0" fontId="0" fillId="0" borderId="49" xfId="0" quotePrefix="1" applyFill="1" applyBorder="1" applyAlignment="1">
      <alignment wrapText="1"/>
    </xf>
    <xf numFmtId="0" fontId="0" fillId="0" borderId="17" xfId="0" quotePrefix="1" applyFill="1" applyBorder="1" applyAlignment="1">
      <alignment wrapText="1"/>
    </xf>
    <xf numFmtId="0" fontId="2" fillId="0" borderId="5" xfId="0" applyFont="1" applyFill="1" applyBorder="1"/>
    <xf numFmtId="0" fontId="2" fillId="0" borderId="8" xfId="0" applyFont="1" applyFill="1" applyBorder="1"/>
    <xf numFmtId="0" fontId="0" fillId="0" borderId="8" xfId="0" applyFill="1" applyBorder="1" applyAlignment="1">
      <alignment horizontal="left"/>
    </xf>
    <xf numFmtId="0" fontId="2" fillId="0" borderId="9" xfId="0" applyFont="1" applyFill="1" applyBorder="1"/>
    <xf numFmtId="0" fontId="0" fillId="0" borderId="9" xfId="0" applyFill="1" applyBorder="1" applyAlignment="1">
      <alignment wrapText="1"/>
    </xf>
    <xf numFmtId="0" fontId="2" fillId="0" borderId="3" xfId="0" applyFont="1" applyFill="1" applyBorder="1"/>
    <xf numFmtId="0" fontId="0" fillId="0" borderId="8" xfId="0" applyFill="1" applyBorder="1" applyAlignment="1">
      <alignment wrapText="1"/>
    </xf>
    <xf numFmtId="0" fontId="11" fillId="0" borderId="8" xfId="0" applyFont="1" applyFill="1" applyBorder="1"/>
    <xf numFmtId="0" fontId="1" fillId="6" borderId="2" xfId="0" applyFont="1" applyFill="1" applyBorder="1"/>
    <xf numFmtId="0" fontId="1" fillId="0" borderId="2" xfId="0" applyFont="1" applyBorder="1"/>
    <xf numFmtId="0" fontId="1" fillId="0" borderId="7" xfId="0" applyFont="1" applyBorder="1"/>
    <xf numFmtId="0" fontId="19" fillId="0" borderId="5" xfId="0" applyFont="1" applyFill="1" applyBorder="1"/>
    <xf numFmtId="0" fontId="19" fillId="0" borderId="8" xfId="0" applyFont="1" applyFill="1" applyBorder="1"/>
    <xf numFmtId="0" fontId="28" fillId="0" borderId="0" xfId="0" applyFont="1"/>
    <xf numFmtId="0" fontId="4" fillId="0" borderId="0" xfId="1"/>
    <xf numFmtId="0" fontId="19" fillId="10" borderId="8" xfId="0" applyFont="1" applyFill="1" applyBorder="1"/>
    <xf numFmtId="0" fontId="19" fillId="0" borderId="5" xfId="0" applyFont="1" applyBorder="1"/>
    <xf numFmtId="0" fontId="19" fillId="0" borderId="8" xfId="0" applyFont="1" applyBorder="1"/>
    <xf numFmtId="0" fontId="0" fillId="0" borderId="2" xfId="0" applyFill="1" applyBorder="1"/>
    <xf numFmtId="0" fontId="0" fillId="0" borderId="0" xfId="0" applyAlignment="1">
      <alignment vertical="center"/>
    </xf>
    <xf numFmtId="0" fontId="29" fillId="0" borderId="8" xfId="0" applyFont="1" applyBorder="1"/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7" xfId="0" applyBorder="1"/>
    <xf numFmtId="0" fontId="0" fillId="10" borderId="8" xfId="0" applyFill="1" applyBorder="1"/>
    <xf numFmtId="0" fontId="0" fillId="10" borderId="3" xfId="0" applyFill="1" applyBorder="1"/>
    <xf numFmtId="0" fontId="4" fillId="0" borderId="0" xfId="1" applyFill="1"/>
    <xf numFmtId="0" fontId="0" fillId="10" borderId="49" xfId="0" applyFill="1" applyBorder="1" applyAlignment="1">
      <alignment wrapText="1"/>
    </xf>
    <xf numFmtId="0" fontId="0" fillId="10" borderId="5" xfId="0" applyFill="1" applyBorder="1"/>
    <xf numFmtId="0" fontId="4" fillId="0" borderId="5" xfId="1" applyFill="1" applyBorder="1"/>
    <xf numFmtId="0" fontId="0" fillId="10" borderId="17" xfId="0" applyFill="1" applyBorder="1" applyAlignment="1">
      <alignment wrapText="1"/>
    </xf>
    <xf numFmtId="0" fontId="0" fillId="10" borderId="17" xfId="0" applyFill="1" applyBorder="1"/>
    <xf numFmtId="0" fontId="4" fillId="0" borderId="1" xfId="1" applyFill="1" applyBorder="1"/>
    <xf numFmtId="0" fontId="4" fillId="0" borderId="8" xfId="1" applyFill="1" applyBorder="1"/>
    <xf numFmtId="0" fontId="0" fillId="0" borderId="8" xfId="0" applyBorder="1" applyAlignment="1">
      <alignment horizontal="left"/>
    </xf>
    <xf numFmtId="0" fontId="0" fillId="11" borderId="9" xfId="0" applyFill="1" applyBorder="1"/>
    <xf numFmtId="0" fontId="0" fillId="11" borderId="9" xfId="0" applyFill="1" applyBorder="1" applyAlignment="1">
      <alignment wrapText="1"/>
    </xf>
    <xf numFmtId="0" fontId="0" fillId="0" borderId="3" xfId="0" applyBorder="1"/>
    <xf numFmtId="0" fontId="29" fillId="0" borderId="0" xfId="0" applyFont="1"/>
    <xf numFmtId="0" fontId="29" fillId="0" borderId="5" xfId="0" applyFont="1" applyBorder="1"/>
    <xf numFmtId="0" fontId="11" fillId="0" borderId="8" xfId="0" applyFont="1" applyBorder="1"/>
    <xf numFmtId="0" fontId="0" fillId="0" borderId="0" xfId="0" applyFont="1"/>
    <xf numFmtId="0" fontId="1" fillId="0" borderId="0" xfId="1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49" fontId="5" fillId="0" borderId="0" xfId="0" applyNumberFormat="1" applyFont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horizontal="center"/>
      <protection hidden="1"/>
    </xf>
    <xf numFmtId="0" fontId="2" fillId="4" borderId="8" xfId="0" applyFont="1" applyFill="1" applyBorder="1" applyAlignment="1" applyProtection="1">
      <alignment horizontal="center" vertical="center"/>
      <protection locked="0" hidden="1"/>
    </xf>
    <xf numFmtId="165" fontId="15" fillId="7" borderId="58" xfId="0" applyNumberFormat="1" applyFont="1" applyFill="1" applyBorder="1" applyAlignment="1" applyProtection="1">
      <alignment horizontal="center" vertical="center"/>
      <protection hidden="1"/>
    </xf>
    <xf numFmtId="165" fontId="3" fillId="4" borderId="12" xfId="0" applyNumberFormat="1" applyFont="1" applyFill="1" applyBorder="1" applyAlignment="1" applyProtection="1">
      <alignment horizontal="center" vertical="center"/>
      <protection locked="0" hidden="1"/>
    </xf>
    <xf numFmtId="165" fontId="3" fillId="4" borderId="11" xfId="0" applyNumberFormat="1" applyFont="1" applyFill="1" applyBorder="1" applyAlignment="1" applyProtection="1">
      <alignment horizontal="center" vertical="center"/>
      <protection locked="0" hidden="1"/>
    </xf>
    <xf numFmtId="165" fontId="3" fillId="4" borderId="40" xfId="0" applyNumberFormat="1" applyFont="1" applyFill="1" applyBorder="1" applyAlignment="1" applyProtection="1">
      <alignment horizontal="center" vertical="center"/>
      <protection locked="0" hidden="1"/>
    </xf>
    <xf numFmtId="0" fontId="12" fillId="7" borderId="50" xfId="0" applyFont="1" applyFill="1" applyBorder="1" applyAlignment="1" applyProtection="1">
      <alignment horizontal="right" vertical="center" textRotation="90"/>
      <protection hidden="1"/>
    </xf>
    <xf numFmtId="0" fontId="12" fillId="7" borderId="0" xfId="0" applyFont="1" applyFill="1" applyAlignment="1" applyProtection="1">
      <alignment horizontal="right" vertical="center" textRotation="90"/>
      <protection hidden="1"/>
    </xf>
    <xf numFmtId="0" fontId="22" fillId="3" borderId="35" xfId="0" applyFont="1" applyFill="1" applyBorder="1" applyAlignment="1">
      <alignment horizontal="center" vertical="center"/>
    </xf>
    <xf numFmtId="0" fontId="1" fillId="0" borderId="34" xfId="0" applyFont="1" applyFill="1" applyBorder="1" applyAlignment="1" applyProtection="1">
      <alignment horizontal="left"/>
      <protection hidden="1"/>
    </xf>
    <xf numFmtId="0" fontId="1" fillId="0" borderId="35" xfId="0" applyFont="1" applyFill="1" applyBorder="1" applyAlignment="1" applyProtection="1">
      <alignment horizontal="left"/>
      <protection hidden="1"/>
    </xf>
    <xf numFmtId="0" fontId="1" fillId="0" borderId="36" xfId="0" applyFon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61" xfId="0" applyBorder="1" applyAlignment="1" applyProtection="1">
      <alignment horizontal="left"/>
      <protection hidden="1"/>
    </xf>
    <xf numFmtId="0" fontId="0" fillId="0" borderId="60" xfId="0" applyBorder="1" applyAlignment="1" applyProtection="1">
      <alignment horizontal="left"/>
      <protection hidden="1"/>
    </xf>
    <xf numFmtId="0" fontId="26" fillId="4" borderId="56" xfId="1" applyFont="1" applyFill="1" applyBorder="1" applyAlignment="1" applyProtection="1">
      <alignment horizontal="center" vertical="center"/>
      <protection hidden="1"/>
    </xf>
    <xf numFmtId="0" fontId="26" fillId="4" borderId="55" xfId="1" applyFont="1" applyFill="1" applyBorder="1" applyAlignment="1" applyProtection="1">
      <alignment horizontal="center" vertical="center"/>
      <protection hidden="1"/>
    </xf>
    <xf numFmtId="166" fontId="3" fillId="4" borderId="12" xfId="0" applyNumberFormat="1" applyFont="1" applyFill="1" applyBorder="1" applyAlignment="1" applyProtection="1">
      <alignment horizontal="center" vertical="center"/>
      <protection locked="0" hidden="1"/>
    </xf>
    <xf numFmtId="166" fontId="3" fillId="4" borderId="11" xfId="0" applyNumberFormat="1" applyFont="1" applyFill="1" applyBorder="1" applyAlignment="1" applyProtection="1">
      <alignment horizontal="center" vertical="center"/>
      <protection locked="0" hidden="1"/>
    </xf>
    <xf numFmtId="166" fontId="3" fillId="4" borderId="40" xfId="0" applyNumberFormat="1" applyFont="1" applyFill="1" applyBorder="1" applyAlignment="1" applyProtection="1">
      <alignment horizontal="center" vertical="center"/>
      <protection locked="0" hidden="1"/>
    </xf>
    <xf numFmtId="0" fontId="8" fillId="7" borderId="50" xfId="0" applyFont="1" applyFill="1" applyBorder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35" fillId="3" borderId="0" xfId="0" applyFont="1" applyFill="1" applyAlignment="1" applyProtection="1">
      <alignment horizontal="right" vertical="top" wrapText="1"/>
      <protection hidden="1"/>
    </xf>
    <xf numFmtId="0" fontId="12" fillId="7" borderId="0" xfId="0" applyFont="1" applyFill="1" applyBorder="1" applyAlignment="1" applyProtection="1">
      <alignment horizontal="left" vertical="center" wrapText="1"/>
      <protection hidden="1"/>
    </xf>
    <xf numFmtId="0" fontId="12" fillId="7" borderId="58" xfId="0" applyFont="1" applyFill="1" applyBorder="1" applyAlignment="1" applyProtection="1">
      <alignment horizontal="left" vertical="center" wrapText="1"/>
      <protection hidden="1"/>
    </xf>
    <xf numFmtId="0" fontId="2" fillId="8" borderId="8" xfId="0" applyFont="1" applyFill="1" applyBorder="1" applyAlignment="1" applyProtection="1">
      <alignment horizontal="center" vertical="center"/>
      <protection locked="0" hidden="1"/>
    </xf>
    <xf numFmtId="0" fontId="12" fillId="3" borderId="4" xfId="0" applyFont="1" applyFill="1" applyBorder="1" applyAlignment="1" applyProtection="1">
      <alignment horizontal="center"/>
      <protection hidden="1"/>
    </xf>
    <xf numFmtId="0" fontId="6" fillId="0" borderId="30" xfId="1" applyFont="1" applyBorder="1" applyAlignment="1" applyProtection="1">
      <alignment horizontal="center" vertical="center"/>
      <protection hidden="1"/>
    </xf>
    <xf numFmtId="0" fontId="1" fillId="0" borderId="30" xfId="1" applyFont="1" applyBorder="1" applyAlignment="1" applyProtection="1">
      <alignment horizontal="center" vertical="center"/>
      <protection hidden="1"/>
    </xf>
    <xf numFmtId="166" fontId="3" fillId="7" borderId="58" xfId="0" applyNumberFormat="1" applyFont="1" applyFill="1" applyBorder="1" applyAlignment="1" applyProtection="1">
      <alignment horizontal="center" vertical="center"/>
      <protection hidden="1"/>
    </xf>
    <xf numFmtId="0" fontId="12" fillId="7" borderId="0" xfId="0" applyFont="1" applyFill="1" applyAlignment="1" applyProtection="1">
      <alignment horizontal="left" vertical="center"/>
      <protection hidden="1"/>
    </xf>
    <xf numFmtId="0" fontId="12" fillId="7" borderId="1" xfId="0" applyFont="1" applyFill="1" applyBorder="1" applyAlignment="1" applyProtection="1">
      <alignment horizontal="left" vertical="center"/>
      <protection hidden="1"/>
    </xf>
    <xf numFmtId="0" fontId="12" fillId="7" borderId="0" xfId="0" applyFont="1" applyFill="1" applyBorder="1" applyAlignment="1" applyProtection="1">
      <alignment horizontal="left" vertical="center"/>
      <protection hidden="1"/>
    </xf>
    <xf numFmtId="165" fontId="27" fillId="7" borderId="59" xfId="0" applyNumberFormat="1" applyFont="1" applyFill="1" applyBorder="1" applyAlignment="1" applyProtection="1">
      <alignment horizontal="center" vertical="center"/>
      <protection hidden="1"/>
    </xf>
    <xf numFmtId="0" fontId="25" fillId="3" borderId="0" xfId="0" applyFont="1" applyFill="1" applyAlignment="1" applyProtection="1">
      <alignment horizontal="center" vertical="center"/>
      <protection hidden="1"/>
    </xf>
    <xf numFmtId="0" fontId="8" fillId="3" borderId="52" xfId="0" applyFont="1" applyFill="1" applyBorder="1" applyAlignment="1" applyProtection="1">
      <alignment horizontal="center" vertical="center"/>
      <protection hidden="1"/>
    </xf>
    <xf numFmtId="0" fontId="8" fillId="3" borderId="53" xfId="0" applyFont="1" applyFill="1" applyBorder="1" applyAlignment="1" applyProtection="1">
      <alignment horizontal="center" vertical="center"/>
      <protection hidden="1"/>
    </xf>
    <xf numFmtId="0" fontId="19" fillId="0" borderId="30" xfId="1" applyFont="1" applyBorder="1" applyAlignment="1" applyProtection="1">
      <alignment horizontal="left" vertical="center"/>
      <protection hidden="1"/>
    </xf>
    <xf numFmtId="0" fontId="23" fillId="0" borderId="33" xfId="1" applyFont="1" applyBorder="1" applyAlignment="1" applyProtection="1">
      <alignment horizontal="left" vertical="center"/>
      <protection hidden="1"/>
    </xf>
    <xf numFmtId="0" fontId="23" fillId="0" borderId="55" xfId="1" applyFont="1" applyBorder="1" applyAlignment="1" applyProtection="1">
      <alignment horizontal="left" vertical="center"/>
      <protection hidden="1"/>
    </xf>
    <xf numFmtId="0" fontId="8" fillId="7" borderId="0" xfId="0" applyFont="1" applyFill="1" applyAlignment="1" applyProtection="1">
      <alignment horizontal="center"/>
      <protection hidden="1"/>
    </xf>
    <xf numFmtId="0" fontId="9" fillId="7" borderId="0" xfId="0" applyFont="1" applyFill="1" applyAlignment="1" applyProtection="1">
      <alignment horizontal="center"/>
      <protection hidden="1"/>
    </xf>
    <xf numFmtId="0" fontId="0" fillId="0" borderId="0" xfId="0"/>
    <xf numFmtId="0" fontId="0" fillId="0" borderId="5" xfId="0" applyBorder="1"/>
    <xf numFmtId="0" fontId="0" fillId="0" borderId="5" xfId="0" applyFill="1" applyBorder="1"/>
    <xf numFmtId="0" fontId="0" fillId="0" borderId="8" xfId="0" applyBorder="1"/>
    <xf numFmtId="0" fontId="0" fillId="0" borderId="8" xfId="0" applyFill="1" applyBorder="1"/>
    <xf numFmtId="0" fontId="0" fillId="0" borderId="17" xfId="0" applyBorder="1"/>
    <xf numFmtId="0" fontId="0" fillId="14" borderId="8" xfId="0" applyFill="1" applyBorder="1"/>
    <xf numFmtId="0" fontId="0" fillId="14" borderId="3" xfId="0" applyFill="1" applyBorder="1"/>
    <xf numFmtId="0" fontId="0" fillId="0" borderId="0" xfId="0" applyFill="1"/>
    <xf numFmtId="0" fontId="0" fillId="14" borderId="16" xfId="0" applyFill="1" applyBorder="1" applyAlignment="1">
      <alignment wrapText="1"/>
    </xf>
    <xf numFmtId="0" fontId="0" fillId="14" borderId="17" xfId="0" quotePrefix="1" applyFill="1" applyBorder="1" applyAlignment="1">
      <alignment wrapText="1"/>
    </xf>
    <xf numFmtId="0" fontId="0" fillId="14" borderId="5" xfId="0" applyFill="1" applyBorder="1"/>
    <xf numFmtId="0" fontId="0" fillId="14" borderId="17" xfId="0" applyFill="1" applyBorder="1" applyAlignment="1">
      <alignment wrapText="1"/>
    </xf>
    <xf numFmtId="0" fontId="0" fillId="14" borderId="17" xfId="0" applyFill="1" applyBorder="1"/>
    <xf numFmtId="0" fontId="4" fillId="0" borderId="8" xfId="1" applyFill="1" applyBorder="1"/>
    <xf numFmtId="0" fontId="0" fillId="0" borderId="8" xfId="0" applyBorder="1" applyAlignment="1">
      <alignment horizontal="left"/>
    </xf>
    <xf numFmtId="0" fontId="0" fillId="15" borderId="9" xfId="0" applyFill="1" applyBorder="1"/>
    <xf numFmtId="0" fontId="0" fillId="15" borderId="9" xfId="0" applyFill="1" applyBorder="1" applyAlignment="1">
      <alignment wrapText="1"/>
    </xf>
    <xf numFmtId="0" fontId="0" fillId="0" borderId="3" xfId="0" applyBorder="1"/>
    <xf numFmtId="0" fontId="39" fillId="0" borderId="0" xfId="0" applyFont="1"/>
    <xf numFmtId="0" fontId="39" fillId="0" borderId="5" xfId="0" applyFont="1" applyBorder="1"/>
    <xf numFmtId="0" fontId="40" fillId="0" borderId="8" xfId="0" applyFont="1" applyBorder="1"/>
    <xf numFmtId="0" fontId="0" fillId="0" borderId="8" xfId="0" quotePrefix="1" applyBorder="1"/>
  </cellXfs>
  <cellStyles count="2">
    <cellStyle name="Hyperlink" xfId="1" builtinId="8"/>
    <cellStyle name="Standard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  <border diagonalUp="0" diagonalDown="0" outline="0">
        <left style="thin">
          <color indexed="64"/>
        </left>
        <right/>
        <top/>
        <bottom/>
      </border>
    </dxf>
    <dxf>
      <numFmt numFmtId="1" formatCode="0"/>
      <border diagonalUp="0" diagonalDown="0">
        <left style="thin">
          <color indexed="64"/>
        </left>
        <right/>
        <top/>
        <bottom/>
        <vertical/>
        <horizontal/>
      </border>
    </dxf>
    <dxf>
      <border diagonalUp="0" diagonalDown="0">
        <left style="thick">
          <color indexed="64"/>
        </left>
        <right style="thin">
          <color indexed="64"/>
        </right>
        <top/>
        <bottom/>
        <vertical/>
        <horizontal/>
      </border>
    </dxf>
    <dxf>
      <numFmt numFmtId="0" formatCode="General"/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general" vertical="bottom" textRotation="6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color theme="1"/>
      </font>
    </dxf>
    <dxf>
      <font>
        <color theme="0" tint="-4.9989318521683403E-2"/>
      </font>
    </dxf>
    <dxf>
      <font>
        <b val="0"/>
        <i val="0"/>
        <color theme="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</dxfs>
  <tableStyles count="0" defaultTableStyle="TableStyleMedium2" defaultPivotStyle="PivotStyleLight16"/>
  <colors>
    <mruColors>
      <color rgb="FF008028"/>
      <color rgb="FFC09200"/>
      <color rgb="FF00601E"/>
      <color rgb="FFE1FFE1"/>
      <color rgb="FFFFD5D5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ctrlProps/ctrlProp1.xml><?xml version="1.0" encoding="utf-8"?>
<formControlPr xmlns="http://schemas.microsoft.com/office/spreadsheetml/2009/9/main" objectType="Spin" dx="16" fmlaLink="$AW$3" inc="5" max="1400" min="100" page="10" val="850"/>
</file>

<file path=xl/ctrlProps/ctrlProp10.xml><?xml version="1.0" encoding="utf-8"?>
<formControlPr xmlns="http://schemas.microsoft.com/office/spreadsheetml/2009/9/main" objectType="Spin" dx="16" fmlaLink="$BJ$6" inc="5" max="1300" page="10" val="470"/>
</file>

<file path=xl/ctrlProps/ctrlProp2.xml><?xml version="1.0" encoding="utf-8"?>
<formControlPr xmlns="http://schemas.microsoft.com/office/spreadsheetml/2009/9/main" objectType="Spin" dx="16" fmlaLink="$AW$4" inc="5" max="1000" min="150" page="10" val="550"/>
</file>

<file path=xl/ctrlProps/ctrlProp3.xml><?xml version="1.0" encoding="utf-8"?>
<formControlPr xmlns="http://schemas.microsoft.com/office/spreadsheetml/2009/9/main" objectType="Spin" dx="16" fmlaLink="$AW$5" max="100" min="1" page="10" val="19"/>
</file>

<file path=xl/ctrlProps/ctrlProp4.xml><?xml version="1.0" encoding="utf-8"?>
<formControlPr xmlns="http://schemas.microsoft.com/office/spreadsheetml/2009/9/main" objectType="Drop" dropLines="10" dropStyle="combo" dx="16" fmlaLink="Sprache!$B$2" fmlaRange="Sprache!$A$5:$A$14" sel="10" val="0"/>
</file>

<file path=xl/ctrlProps/ctrlProp5.xml><?xml version="1.0" encoding="utf-8"?>
<formControlPr xmlns="http://schemas.microsoft.com/office/spreadsheetml/2009/9/main" objectType="Spin" dx="16" fmlaLink="$BJ$12" inc="50" max="5000" page="10" val="0"/>
</file>

<file path=xl/ctrlProps/ctrlProp6.xml><?xml version="1.0" encoding="utf-8"?>
<formControlPr xmlns="http://schemas.microsoft.com/office/spreadsheetml/2009/9/main" objectType="Spin" dx="16" fmlaLink="$AW$12" max="25" page="10" val="5"/>
</file>

<file path=xl/ctrlProps/ctrlProp7.xml><?xml version="1.0" encoding="utf-8"?>
<formControlPr xmlns="http://schemas.microsoft.com/office/spreadsheetml/2009/9/main" objectType="Radio" checked="Checked" firstButton="1" fmlaLink="'Material+Limits'!$K$58" lockText="1"/>
</file>

<file path=xl/ctrlProps/ctrlProp8.xml><?xml version="1.0" encoding="utf-8"?>
<formControlPr xmlns="http://schemas.microsoft.com/office/spreadsheetml/2009/9/main" objectType="Drop" dropLines="40" dropStyle="combo" dx="16" fmlaLink="'Material+Limits'!$C$5" fmlaRange="'Material+Limits'!$B$6:$B$49" noThreeD="1" sel="2" val="0"/>
</file>

<file path=xl/ctrlProps/ctrlProp9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jpg"/><Relationship Id="rId3" Type="http://schemas.openxmlformats.org/officeDocument/2006/relationships/image" Target="../media/image7.jpg"/><Relationship Id="rId7" Type="http://schemas.openxmlformats.org/officeDocument/2006/relationships/image" Target="../media/image11.jpg"/><Relationship Id="rId12" Type="http://schemas.openxmlformats.org/officeDocument/2006/relationships/image" Target="../media/image16.jpg"/><Relationship Id="rId2" Type="http://schemas.openxmlformats.org/officeDocument/2006/relationships/image" Target="../media/image6.png"/><Relationship Id="rId1" Type="http://schemas.openxmlformats.org/officeDocument/2006/relationships/hyperlink" Target="http://www.grass.at" TargetMode="External"/><Relationship Id="rId6" Type="http://schemas.openxmlformats.org/officeDocument/2006/relationships/image" Target="../media/image10.jpg"/><Relationship Id="rId11" Type="http://schemas.openxmlformats.org/officeDocument/2006/relationships/image" Target="../media/image15.jpg"/><Relationship Id="rId5" Type="http://schemas.openxmlformats.org/officeDocument/2006/relationships/image" Target="../media/image9.jpg"/><Relationship Id="rId10" Type="http://schemas.openxmlformats.org/officeDocument/2006/relationships/image" Target="../media/image14.jpg"/><Relationship Id="rId4" Type="http://schemas.openxmlformats.org/officeDocument/2006/relationships/image" Target="../media/image8.jpg"/><Relationship Id="rId9" Type="http://schemas.openxmlformats.org/officeDocument/2006/relationships/image" Target="../media/image13.jp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5" Type="http://schemas.openxmlformats.org/officeDocument/2006/relationships/image" Target="../media/image1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9525</xdr:colOff>
      <xdr:row>6</xdr:row>
      <xdr:rowOff>28575</xdr:rowOff>
    </xdr:from>
    <xdr:to>
      <xdr:col>68</xdr:col>
      <xdr:colOff>117525</xdr:colOff>
      <xdr:row>6</xdr:row>
      <xdr:rowOff>209550</xdr:rowOff>
    </xdr:to>
    <xdr:sp macro="" textlink="">
      <xdr:nvSpPr>
        <xdr:cNvPr id="71" name="Rechteck 70"/>
        <xdr:cNvSpPr/>
      </xdr:nvSpPr>
      <xdr:spPr>
        <a:xfrm>
          <a:off x="5857875" y="1400175"/>
          <a:ext cx="4680000" cy="180975"/>
        </a:xfrm>
        <a:prstGeom prst="rect">
          <a:avLst/>
        </a:prstGeom>
        <a:gradFill flip="none" rotWithShape="1">
          <a:gsLst>
            <a:gs pos="0">
              <a:srgbClr val="00601E"/>
            </a:gs>
            <a:gs pos="50000">
              <a:srgbClr val="008028"/>
            </a:gs>
            <a:gs pos="100000">
              <a:srgbClr val="008028"/>
            </a:gs>
          </a:gsLst>
          <a:lin ang="5340000" scaled="0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2</xdr:row>
          <xdr:rowOff>0</xdr:rowOff>
        </xdr:from>
        <xdr:to>
          <xdr:col>53</xdr:col>
          <xdr:colOff>47625</xdr:colOff>
          <xdr:row>3</xdr:row>
          <xdr:rowOff>0</xdr:rowOff>
        </xdr:to>
        <xdr:sp macro="" textlink="">
          <xdr:nvSpPr>
            <xdr:cNvPr id="4098" name="Spinner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3</xdr:row>
          <xdr:rowOff>0</xdr:rowOff>
        </xdr:from>
        <xdr:to>
          <xdr:col>53</xdr:col>
          <xdr:colOff>47625</xdr:colOff>
          <xdr:row>4</xdr:row>
          <xdr:rowOff>0</xdr:rowOff>
        </xdr:to>
        <xdr:sp macro="" textlink="">
          <xdr:nvSpPr>
            <xdr:cNvPr id="4099" name="Spinner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4</xdr:row>
          <xdr:rowOff>9525</xdr:rowOff>
        </xdr:from>
        <xdr:to>
          <xdr:col>53</xdr:col>
          <xdr:colOff>47625</xdr:colOff>
          <xdr:row>5</xdr:row>
          <xdr:rowOff>9525</xdr:rowOff>
        </xdr:to>
        <xdr:sp macro="" textlink="">
          <xdr:nvSpPr>
            <xdr:cNvPr id="4100" name="Spinner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</xdr:col>
      <xdr:colOff>28635</xdr:colOff>
      <xdr:row>0</xdr:row>
      <xdr:rowOff>180975</xdr:rowOff>
    </xdr:from>
    <xdr:to>
      <xdr:col>22</xdr:col>
      <xdr:colOff>123825</xdr:colOff>
      <xdr:row>4</xdr:row>
      <xdr:rowOff>20413</xdr:rowOff>
    </xdr:to>
    <xdr:pic>
      <xdr:nvPicPr>
        <xdr:cNvPr id="2" name="Grafik 1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31486"/>
        <a:stretch/>
      </xdr:blipFill>
      <xdr:spPr>
        <a:xfrm>
          <a:off x="238185" y="180975"/>
          <a:ext cx="3295590" cy="715738"/>
        </a:xfrm>
        <a:prstGeom prst="rect">
          <a:avLst/>
        </a:prstGeom>
      </xdr:spPr>
    </xdr:pic>
    <xdr:clientData/>
  </xdr:twoCellAnchor>
  <xdr:twoCellAnchor>
    <xdr:from>
      <xdr:col>2</xdr:col>
      <xdr:colOff>85725</xdr:colOff>
      <xdr:row>6</xdr:row>
      <xdr:rowOff>28575</xdr:rowOff>
    </xdr:from>
    <xdr:to>
      <xdr:col>22</xdr:col>
      <xdr:colOff>133350</xdr:colOff>
      <xdr:row>6</xdr:row>
      <xdr:rowOff>171449</xdr:rowOff>
    </xdr:to>
    <xdr:sp macro="" textlink="">
      <xdr:nvSpPr>
        <xdr:cNvPr id="3" name="Rechteck 2"/>
        <xdr:cNvSpPr/>
      </xdr:nvSpPr>
      <xdr:spPr>
        <a:xfrm>
          <a:off x="447675" y="1400175"/>
          <a:ext cx="3095625" cy="142874"/>
        </a:xfrm>
        <a:prstGeom prst="rect">
          <a:avLst/>
        </a:prstGeom>
        <a:gradFill flip="none" rotWithShape="1">
          <a:gsLst>
            <a:gs pos="0">
              <a:srgbClr val="00601E"/>
            </a:gs>
            <a:gs pos="50000">
              <a:srgbClr val="008028"/>
            </a:gs>
            <a:gs pos="100000">
              <a:srgbClr val="008028"/>
            </a:gs>
          </a:gsLst>
          <a:lin ang="5640000" scaled="0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65</xdr:col>
          <xdr:colOff>47625</xdr:colOff>
          <xdr:row>11</xdr:row>
          <xdr:rowOff>0</xdr:rowOff>
        </xdr:from>
        <xdr:to>
          <xdr:col>66</xdr:col>
          <xdr:colOff>57150</xdr:colOff>
          <xdr:row>12</xdr:row>
          <xdr:rowOff>0</xdr:rowOff>
        </xdr:to>
        <xdr:sp macro="" textlink="">
          <xdr:nvSpPr>
            <xdr:cNvPr id="4103" name="Spinner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11</xdr:row>
          <xdr:rowOff>0</xdr:rowOff>
        </xdr:from>
        <xdr:to>
          <xdr:col>53</xdr:col>
          <xdr:colOff>47625</xdr:colOff>
          <xdr:row>12</xdr:row>
          <xdr:rowOff>0</xdr:rowOff>
        </xdr:to>
        <xdr:sp macro="" textlink="">
          <xdr:nvSpPr>
            <xdr:cNvPr id="4104" name="Spinner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66675</xdr:colOff>
          <xdr:row>11</xdr:row>
          <xdr:rowOff>19050</xdr:rowOff>
        </xdr:from>
        <xdr:to>
          <xdr:col>48</xdr:col>
          <xdr:colOff>38100</xdr:colOff>
          <xdr:row>11</xdr:row>
          <xdr:rowOff>219075</xdr:rowOff>
        </xdr:to>
        <xdr:sp macro="" textlink="">
          <xdr:nvSpPr>
            <xdr:cNvPr id="4105" name="Option Button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133350</xdr:colOff>
          <xdr:row>5</xdr:row>
          <xdr:rowOff>38100</xdr:rowOff>
        </xdr:from>
        <xdr:to>
          <xdr:col>53</xdr:col>
          <xdr:colOff>57150</xdr:colOff>
          <xdr:row>5</xdr:row>
          <xdr:rowOff>228600</xdr:rowOff>
        </xdr:to>
        <xdr:sp macro="" textlink="">
          <xdr:nvSpPr>
            <xdr:cNvPr id="4107" name="Drop Down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66675</xdr:colOff>
          <xdr:row>9</xdr:row>
          <xdr:rowOff>9525</xdr:rowOff>
        </xdr:from>
        <xdr:to>
          <xdr:col>48</xdr:col>
          <xdr:colOff>66675</xdr:colOff>
          <xdr:row>9</xdr:row>
          <xdr:rowOff>228600</xdr:rowOff>
        </xdr:to>
        <xdr:sp macro="" textlink="">
          <xdr:nvSpPr>
            <xdr:cNvPr id="4112" name="Option Button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4</xdr:col>
      <xdr:colOff>91290</xdr:colOff>
      <xdr:row>18</xdr:row>
      <xdr:rowOff>114300</xdr:rowOff>
    </xdr:from>
    <xdr:to>
      <xdr:col>10</xdr:col>
      <xdr:colOff>114300</xdr:colOff>
      <xdr:row>21</xdr:row>
      <xdr:rowOff>41176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915" y="1228725"/>
          <a:ext cx="93741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</xdr:col>
      <xdr:colOff>92850</xdr:colOff>
      <xdr:row>27</xdr:row>
      <xdr:rowOff>138075</xdr:rowOff>
    </xdr:from>
    <xdr:to>
      <xdr:col>10</xdr:col>
      <xdr:colOff>114450</xdr:colOff>
      <xdr:row>30</xdr:row>
      <xdr:rowOff>74476</xdr:rowOff>
    </xdr:to>
    <xdr:pic>
      <xdr:nvPicPr>
        <xdr:cNvPr id="6" name="Grafik 5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9600" y="7253250"/>
          <a:ext cx="936000" cy="1155601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</xdr:col>
      <xdr:colOff>92850</xdr:colOff>
      <xdr:row>30</xdr:row>
      <xdr:rowOff>126150</xdr:rowOff>
    </xdr:from>
    <xdr:to>
      <xdr:col>10</xdr:col>
      <xdr:colOff>114450</xdr:colOff>
      <xdr:row>33</xdr:row>
      <xdr:rowOff>81599</xdr:rowOff>
    </xdr:to>
    <xdr:pic>
      <xdr:nvPicPr>
        <xdr:cNvPr id="7" name="Grafik 6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475" y="526012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</xdr:col>
      <xdr:colOff>92850</xdr:colOff>
      <xdr:row>34</xdr:row>
      <xdr:rowOff>114225</xdr:rowOff>
    </xdr:from>
    <xdr:to>
      <xdr:col>10</xdr:col>
      <xdr:colOff>114450</xdr:colOff>
      <xdr:row>37</xdr:row>
      <xdr:rowOff>69676</xdr:rowOff>
    </xdr:to>
    <xdr:pic>
      <xdr:nvPicPr>
        <xdr:cNvPr id="8" name="Grafik 7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475" y="659122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18</xdr:row>
      <xdr:rowOff>111825</xdr:rowOff>
    </xdr:from>
    <xdr:to>
      <xdr:col>42</xdr:col>
      <xdr:colOff>114450</xdr:colOff>
      <xdr:row>21</xdr:row>
      <xdr:rowOff>38701</xdr:rowOff>
    </xdr:to>
    <xdr:pic>
      <xdr:nvPicPr>
        <xdr:cNvPr id="9" name="Grafik 8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1226250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22</xdr:row>
      <xdr:rowOff>111899</xdr:rowOff>
    </xdr:from>
    <xdr:to>
      <xdr:col>42</xdr:col>
      <xdr:colOff>114450</xdr:colOff>
      <xdr:row>25</xdr:row>
      <xdr:rowOff>67348</xdr:rowOff>
    </xdr:to>
    <xdr:pic>
      <xdr:nvPicPr>
        <xdr:cNvPr id="10" name="Grafik 9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2578874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26</xdr:row>
      <xdr:rowOff>119025</xdr:rowOff>
    </xdr:from>
    <xdr:to>
      <xdr:col>42</xdr:col>
      <xdr:colOff>114450</xdr:colOff>
      <xdr:row>29</xdr:row>
      <xdr:rowOff>74476</xdr:rowOff>
    </xdr:to>
    <xdr:pic>
      <xdr:nvPicPr>
        <xdr:cNvPr id="11" name="Grafik 10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390997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30</xdr:row>
      <xdr:rowOff>119025</xdr:rowOff>
    </xdr:from>
    <xdr:to>
      <xdr:col>42</xdr:col>
      <xdr:colOff>114450</xdr:colOff>
      <xdr:row>33</xdr:row>
      <xdr:rowOff>74474</xdr:rowOff>
    </xdr:to>
    <xdr:pic>
      <xdr:nvPicPr>
        <xdr:cNvPr id="12" name="Grafik 11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5253000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34</xdr:row>
      <xdr:rowOff>119025</xdr:rowOff>
    </xdr:from>
    <xdr:to>
      <xdr:col>42</xdr:col>
      <xdr:colOff>114450</xdr:colOff>
      <xdr:row>37</xdr:row>
      <xdr:rowOff>74476</xdr:rowOff>
    </xdr:to>
    <xdr:pic>
      <xdr:nvPicPr>
        <xdr:cNvPr id="13" name="Grafik 12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659602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133350</xdr:colOff>
          <xdr:row>8</xdr:row>
          <xdr:rowOff>19050</xdr:rowOff>
        </xdr:from>
        <xdr:to>
          <xdr:col>21</xdr:col>
          <xdr:colOff>123825</xdr:colOff>
          <xdr:row>8</xdr:row>
          <xdr:rowOff>219075</xdr:rowOff>
        </xdr:to>
        <xdr:sp macro="" textlink="">
          <xdr:nvSpPr>
            <xdr:cNvPr id="4101" name="Drop Dow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19</xdr:row>
          <xdr:rowOff>66675</xdr:rowOff>
        </xdr:from>
        <xdr:to>
          <xdr:col>13</xdr:col>
          <xdr:colOff>114300</xdr:colOff>
          <xdr:row>20</xdr:row>
          <xdr:rowOff>47625</xdr:rowOff>
        </xdr:to>
        <xdr:sp macro="" textlink="">
          <xdr:nvSpPr>
            <xdr:cNvPr id="4118" name="OptionButton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14</xdr:col>
      <xdr:colOff>114301</xdr:colOff>
      <xdr:row>18</xdr:row>
      <xdr:rowOff>114300</xdr:rowOff>
    </xdr:from>
    <xdr:to>
      <xdr:col>34</xdr:col>
      <xdr:colOff>0</xdr:colOff>
      <xdr:row>21</xdr:row>
      <xdr:rowOff>76200</xdr:rowOff>
    </xdr:to>
    <xdr:sp macro="" textlink="">
      <xdr:nvSpPr>
        <xdr:cNvPr id="43" name="Abgerundetes Rechteck 42"/>
        <xdr:cNvSpPr/>
      </xdr:nvSpPr>
      <xdr:spPr>
        <a:xfrm>
          <a:off x="2305051" y="3219450"/>
          <a:ext cx="2933699" cy="1190625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18</xdr:row>
      <xdr:rowOff>123826</xdr:rowOff>
    </xdr:from>
    <xdr:to>
      <xdr:col>14</xdr:col>
      <xdr:colOff>47625</xdr:colOff>
      <xdr:row>20</xdr:row>
      <xdr:rowOff>114300</xdr:rowOff>
    </xdr:to>
    <xdr:sp macro="" textlink="">
      <xdr:nvSpPr>
        <xdr:cNvPr id="44" name="Abgerundetes Rechteck 43"/>
        <xdr:cNvSpPr/>
      </xdr:nvSpPr>
      <xdr:spPr>
        <a:xfrm>
          <a:off x="104775" y="1238251"/>
          <a:ext cx="400050" cy="371474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20</xdr:row>
      <xdr:rowOff>190500</xdr:rowOff>
    </xdr:from>
    <xdr:to>
      <xdr:col>14</xdr:col>
      <xdr:colOff>47625</xdr:colOff>
      <xdr:row>21</xdr:row>
      <xdr:rowOff>66675</xdr:rowOff>
    </xdr:to>
    <xdr:sp macro="" textlink="">
      <xdr:nvSpPr>
        <xdr:cNvPr id="45" name="Abgerundetes Rechteck 44"/>
        <xdr:cNvSpPr/>
      </xdr:nvSpPr>
      <xdr:spPr>
        <a:xfrm>
          <a:off x="104775" y="1685925"/>
          <a:ext cx="400050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4</xdr:col>
      <xdr:colOff>92850</xdr:colOff>
      <xdr:row>22</xdr:row>
      <xdr:rowOff>111899</xdr:rowOff>
    </xdr:from>
    <xdr:to>
      <xdr:col>10</xdr:col>
      <xdr:colOff>114300</xdr:colOff>
      <xdr:row>25</xdr:row>
      <xdr:rowOff>65425</xdr:rowOff>
    </xdr:to>
    <xdr:pic>
      <xdr:nvPicPr>
        <xdr:cNvPr id="51" name="Grafik 50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475" y="2578874"/>
          <a:ext cx="935850" cy="1153677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23</xdr:row>
          <xdr:rowOff>66675</xdr:rowOff>
        </xdr:from>
        <xdr:to>
          <xdr:col>13</xdr:col>
          <xdr:colOff>114300</xdr:colOff>
          <xdr:row>24</xdr:row>
          <xdr:rowOff>47625</xdr:rowOff>
        </xdr:to>
        <xdr:sp macro="" textlink="">
          <xdr:nvSpPr>
            <xdr:cNvPr id="4120" name="OptionButton3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14</xdr:col>
      <xdr:colOff>114301</xdr:colOff>
      <xdr:row>22</xdr:row>
      <xdr:rowOff>114300</xdr:rowOff>
    </xdr:from>
    <xdr:to>
      <xdr:col>33</xdr:col>
      <xdr:colOff>161925</xdr:colOff>
      <xdr:row>25</xdr:row>
      <xdr:rowOff>76200</xdr:rowOff>
    </xdr:to>
    <xdr:sp macro="" textlink="">
      <xdr:nvSpPr>
        <xdr:cNvPr id="53" name="Abgerundetes Rechteck 52"/>
        <xdr:cNvSpPr/>
      </xdr:nvSpPr>
      <xdr:spPr>
        <a:xfrm>
          <a:off x="571501" y="2581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22</xdr:row>
      <xdr:rowOff>123826</xdr:rowOff>
    </xdr:from>
    <xdr:to>
      <xdr:col>14</xdr:col>
      <xdr:colOff>47625</xdr:colOff>
      <xdr:row>24</xdr:row>
      <xdr:rowOff>114300</xdr:rowOff>
    </xdr:to>
    <xdr:sp macro="" textlink="">
      <xdr:nvSpPr>
        <xdr:cNvPr id="54" name="Abgerundetes Rechteck 53"/>
        <xdr:cNvSpPr/>
      </xdr:nvSpPr>
      <xdr:spPr>
        <a:xfrm>
          <a:off x="104775" y="2590801"/>
          <a:ext cx="400050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24</xdr:row>
      <xdr:rowOff>190500</xdr:rowOff>
    </xdr:from>
    <xdr:to>
      <xdr:col>14</xdr:col>
      <xdr:colOff>47625</xdr:colOff>
      <xdr:row>25</xdr:row>
      <xdr:rowOff>66675</xdr:rowOff>
    </xdr:to>
    <xdr:sp macro="" textlink="">
      <xdr:nvSpPr>
        <xdr:cNvPr id="55" name="Abgerundetes Rechteck 54"/>
        <xdr:cNvSpPr/>
      </xdr:nvSpPr>
      <xdr:spPr>
        <a:xfrm>
          <a:off x="104775" y="3009900"/>
          <a:ext cx="400050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27</xdr:row>
          <xdr:rowOff>66675</xdr:rowOff>
        </xdr:from>
        <xdr:to>
          <xdr:col>13</xdr:col>
          <xdr:colOff>114300</xdr:colOff>
          <xdr:row>28</xdr:row>
          <xdr:rowOff>47625</xdr:rowOff>
        </xdr:to>
        <xdr:sp macro="" textlink="">
          <xdr:nvSpPr>
            <xdr:cNvPr id="4121" name="OptionButton1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14</xdr:col>
      <xdr:colOff>114301</xdr:colOff>
      <xdr:row>26</xdr:row>
      <xdr:rowOff>114300</xdr:rowOff>
    </xdr:from>
    <xdr:to>
      <xdr:col>33</xdr:col>
      <xdr:colOff>161925</xdr:colOff>
      <xdr:row>29</xdr:row>
      <xdr:rowOff>76200</xdr:rowOff>
    </xdr:to>
    <xdr:sp macro="" textlink="">
      <xdr:nvSpPr>
        <xdr:cNvPr id="58" name="Abgerundetes Rechteck 57"/>
        <xdr:cNvSpPr/>
      </xdr:nvSpPr>
      <xdr:spPr>
        <a:xfrm>
          <a:off x="571501" y="390525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26</xdr:row>
      <xdr:rowOff>123826</xdr:rowOff>
    </xdr:from>
    <xdr:to>
      <xdr:col>14</xdr:col>
      <xdr:colOff>47625</xdr:colOff>
      <xdr:row>28</xdr:row>
      <xdr:rowOff>114300</xdr:rowOff>
    </xdr:to>
    <xdr:sp macro="" textlink="">
      <xdr:nvSpPr>
        <xdr:cNvPr id="59" name="Abgerundetes Rechteck 58"/>
        <xdr:cNvSpPr/>
      </xdr:nvSpPr>
      <xdr:spPr>
        <a:xfrm>
          <a:off x="1838325" y="5943601"/>
          <a:ext cx="400050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28</xdr:row>
      <xdr:rowOff>190500</xdr:rowOff>
    </xdr:from>
    <xdr:to>
      <xdr:col>14</xdr:col>
      <xdr:colOff>47625</xdr:colOff>
      <xdr:row>29</xdr:row>
      <xdr:rowOff>66675</xdr:rowOff>
    </xdr:to>
    <xdr:sp macro="" textlink="">
      <xdr:nvSpPr>
        <xdr:cNvPr id="60" name="Abgerundetes Rechteck 59"/>
        <xdr:cNvSpPr/>
      </xdr:nvSpPr>
      <xdr:spPr>
        <a:xfrm>
          <a:off x="104775" y="4333875"/>
          <a:ext cx="400050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114301</xdr:colOff>
      <xdr:row>30</xdr:row>
      <xdr:rowOff>114300</xdr:rowOff>
    </xdr:from>
    <xdr:to>
      <xdr:col>33</xdr:col>
      <xdr:colOff>161925</xdr:colOff>
      <xdr:row>33</xdr:row>
      <xdr:rowOff>76200</xdr:rowOff>
    </xdr:to>
    <xdr:sp macro="" textlink="">
      <xdr:nvSpPr>
        <xdr:cNvPr id="62" name="Abgerundetes Rechteck 61"/>
        <xdr:cNvSpPr/>
      </xdr:nvSpPr>
      <xdr:spPr>
        <a:xfrm>
          <a:off x="1990726" y="390525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30</xdr:row>
      <xdr:rowOff>123826</xdr:rowOff>
    </xdr:from>
    <xdr:to>
      <xdr:col>14</xdr:col>
      <xdr:colOff>47625</xdr:colOff>
      <xdr:row>32</xdr:row>
      <xdr:rowOff>114300</xdr:rowOff>
    </xdr:to>
    <xdr:sp macro="" textlink="">
      <xdr:nvSpPr>
        <xdr:cNvPr id="63" name="Abgerundetes Rechteck 62"/>
        <xdr:cNvSpPr/>
      </xdr:nvSpPr>
      <xdr:spPr>
        <a:xfrm>
          <a:off x="1533525" y="3914776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32</xdr:row>
      <xdr:rowOff>190500</xdr:rowOff>
    </xdr:from>
    <xdr:to>
      <xdr:col>14</xdr:col>
      <xdr:colOff>47625</xdr:colOff>
      <xdr:row>33</xdr:row>
      <xdr:rowOff>66675</xdr:rowOff>
    </xdr:to>
    <xdr:sp macro="" textlink="">
      <xdr:nvSpPr>
        <xdr:cNvPr id="64" name="Abgerundetes Rechteck 63"/>
        <xdr:cNvSpPr/>
      </xdr:nvSpPr>
      <xdr:spPr>
        <a:xfrm>
          <a:off x="1533525" y="433387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114301</xdr:colOff>
      <xdr:row>34</xdr:row>
      <xdr:rowOff>114300</xdr:rowOff>
    </xdr:from>
    <xdr:to>
      <xdr:col>33</xdr:col>
      <xdr:colOff>161925</xdr:colOff>
      <xdr:row>37</xdr:row>
      <xdr:rowOff>76200</xdr:rowOff>
    </xdr:to>
    <xdr:sp macro="" textlink="">
      <xdr:nvSpPr>
        <xdr:cNvPr id="66" name="Abgerundetes Rechteck 65"/>
        <xdr:cNvSpPr/>
      </xdr:nvSpPr>
      <xdr:spPr>
        <a:xfrm>
          <a:off x="1990726" y="5248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34</xdr:row>
      <xdr:rowOff>123826</xdr:rowOff>
    </xdr:from>
    <xdr:to>
      <xdr:col>14</xdr:col>
      <xdr:colOff>47625</xdr:colOff>
      <xdr:row>36</xdr:row>
      <xdr:rowOff>114300</xdr:rowOff>
    </xdr:to>
    <xdr:sp macro="" textlink="">
      <xdr:nvSpPr>
        <xdr:cNvPr id="67" name="Abgerundetes Rechteck 66"/>
        <xdr:cNvSpPr/>
      </xdr:nvSpPr>
      <xdr:spPr>
        <a:xfrm>
          <a:off x="1533525" y="5257801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36</xdr:row>
      <xdr:rowOff>190500</xdr:rowOff>
    </xdr:from>
    <xdr:to>
      <xdr:col>14</xdr:col>
      <xdr:colOff>47625</xdr:colOff>
      <xdr:row>37</xdr:row>
      <xdr:rowOff>66675</xdr:rowOff>
    </xdr:to>
    <xdr:sp macro="" textlink="">
      <xdr:nvSpPr>
        <xdr:cNvPr id="68" name="Abgerundetes Rechteck 67"/>
        <xdr:cNvSpPr/>
      </xdr:nvSpPr>
      <xdr:spPr>
        <a:xfrm>
          <a:off x="1533525" y="5676900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18</xdr:row>
      <xdr:rowOff>114300</xdr:rowOff>
    </xdr:from>
    <xdr:to>
      <xdr:col>65</xdr:col>
      <xdr:colOff>161925</xdr:colOff>
      <xdr:row>21</xdr:row>
      <xdr:rowOff>76200</xdr:rowOff>
    </xdr:to>
    <xdr:sp macro="" textlink="">
      <xdr:nvSpPr>
        <xdr:cNvPr id="72" name="Abgerundetes Rechteck 71"/>
        <xdr:cNvSpPr/>
      </xdr:nvSpPr>
      <xdr:spPr>
        <a:xfrm>
          <a:off x="1990726" y="1228725"/>
          <a:ext cx="3400424" cy="1171575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18</xdr:row>
      <xdr:rowOff>123826</xdr:rowOff>
    </xdr:from>
    <xdr:to>
      <xdr:col>46</xdr:col>
      <xdr:colOff>47625</xdr:colOff>
      <xdr:row>20</xdr:row>
      <xdr:rowOff>114300</xdr:rowOff>
    </xdr:to>
    <xdr:sp macro="" textlink="">
      <xdr:nvSpPr>
        <xdr:cNvPr id="73" name="Abgerundetes Rechteck 72"/>
        <xdr:cNvSpPr/>
      </xdr:nvSpPr>
      <xdr:spPr>
        <a:xfrm>
          <a:off x="1533525" y="1238251"/>
          <a:ext cx="390525" cy="371474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20</xdr:row>
      <xdr:rowOff>190500</xdr:rowOff>
    </xdr:from>
    <xdr:to>
      <xdr:col>46</xdr:col>
      <xdr:colOff>47625</xdr:colOff>
      <xdr:row>21</xdr:row>
      <xdr:rowOff>66675</xdr:rowOff>
    </xdr:to>
    <xdr:sp macro="" textlink="">
      <xdr:nvSpPr>
        <xdr:cNvPr id="74" name="Abgerundetes Rechteck 73"/>
        <xdr:cNvSpPr/>
      </xdr:nvSpPr>
      <xdr:spPr>
        <a:xfrm>
          <a:off x="1533525" y="168592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22</xdr:row>
      <xdr:rowOff>114300</xdr:rowOff>
    </xdr:from>
    <xdr:to>
      <xdr:col>65</xdr:col>
      <xdr:colOff>161925</xdr:colOff>
      <xdr:row>25</xdr:row>
      <xdr:rowOff>76200</xdr:rowOff>
    </xdr:to>
    <xdr:sp macro="" textlink="">
      <xdr:nvSpPr>
        <xdr:cNvPr id="76" name="Abgerundetes Rechteck 75"/>
        <xdr:cNvSpPr/>
      </xdr:nvSpPr>
      <xdr:spPr>
        <a:xfrm>
          <a:off x="1990726" y="2581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22</xdr:row>
      <xdr:rowOff>123826</xdr:rowOff>
    </xdr:from>
    <xdr:to>
      <xdr:col>46</xdr:col>
      <xdr:colOff>47625</xdr:colOff>
      <xdr:row>24</xdr:row>
      <xdr:rowOff>114300</xdr:rowOff>
    </xdr:to>
    <xdr:sp macro="" textlink="">
      <xdr:nvSpPr>
        <xdr:cNvPr id="77" name="Abgerundetes Rechteck 76"/>
        <xdr:cNvSpPr/>
      </xdr:nvSpPr>
      <xdr:spPr>
        <a:xfrm>
          <a:off x="1533525" y="2590801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24</xdr:row>
      <xdr:rowOff>190500</xdr:rowOff>
    </xdr:from>
    <xdr:to>
      <xdr:col>46</xdr:col>
      <xdr:colOff>47625</xdr:colOff>
      <xdr:row>25</xdr:row>
      <xdr:rowOff>66675</xdr:rowOff>
    </xdr:to>
    <xdr:sp macro="" textlink="">
      <xdr:nvSpPr>
        <xdr:cNvPr id="78" name="Abgerundetes Rechteck 77"/>
        <xdr:cNvSpPr/>
      </xdr:nvSpPr>
      <xdr:spPr>
        <a:xfrm>
          <a:off x="1533525" y="3009900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26</xdr:row>
      <xdr:rowOff>114300</xdr:rowOff>
    </xdr:from>
    <xdr:to>
      <xdr:col>65</xdr:col>
      <xdr:colOff>161925</xdr:colOff>
      <xdr:row>29</xdr:row>
      <xdr:rowOff>76200</xdr:rowOff>
    </xdr:to>
    <xdr:sp macro="" textlink="">
      <xdr:nvSpPr>
        <xdr:cNvPr id="79" name="Abgerundetes Rechteck 78"/>
        <xdr:cNvSpPr/>
      </xdr:nvSpPr>
      <xdr:spPr>
        <a:xfrm>
          <a:off x="1990726" y="390525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26</xdr:row>
      <xdr:rowOff>123826</xdr:rowOff>
    </xdr:from>
    <xdr:to>
      <xdr:col>46</xdr:col>
      <xdr:colOff>47625</xdr:colOff>
      <xdr:row>28</xdr:row>
      <xdr:rowOff>114300</xdr:rowOff>
    </xdr:to>
    <xdr:sp macro="" textlink="">
      <xdr:nvSpPr>
        <xdr:cNvPr id="80" name="Abgerundetes Rechteck 79"/>
        <xdr:cNvSpPr/>
      </xdr:nvSpPr>
      <xdr:spPr>
        <a:xfrm>
          <a:off x="1533525" y="3914776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28</xdr:row>
      <xdr:rowOff>190500</xdr:rowOff>
    </xdr:from>
    <xdr:to>
      <xdr:col>46</xdr:col>
      <xdr:colOff>47625</xdr:colOff>
      <xdr:row>29</xdr:row>
      <xdr:rowOff>66675</xdr:rowOff>
    </xdr:to>
    <xdr:sp macro="" textlink="">
      <xdr:nvSpPr>
        <xdr:cNvPr id="81" name="Abgerundetes Rechteck 80"/>
        <xdr:cNvSpPr/>
      </xdr:nvSpPr>
      <xdr:spPr>
        <a:xfrm>
          <a:off x="1533525" y="433387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30</xdr:row>
      <xdr:rowOff>114300</xdr:rowOff>
    </xdr:from>
    <xdr:to>
      <xdr:col>65</xdr:col>
      <xdr:colOff>161925</xdr:colOff>
      <xdr:row>33</xdr:row>
      <xdr:rowOff>76200</xdr:rowOff>
    </xdr:to>
    <xdr:sp macro="" textlink="">
      <xdr:nvSpPr>
        <xdr:cNvPr id="83" name="Abgerundetes Rechteck 82"/>
        <xdr:cNvSpPr/>
      </xdr:nvSpPr>
      <xdr:spPr>
        <a:xfrm>
          <a:off x="1990726" y="5248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30</xdr:row>
      <xdr:rowOff>123826</xdr:rowOff>
    </xdr:from>
    <xdr:to>
      <xdr:col>46</xdr:col>
      <xdr:colOff>47625</xdr:colOff>
      <xdr:row>32</xdr:row>
      <xdr:rowOff>114300</xdr:rowOff>
    </xdr:to>
    <xdr:sp macro="" textlink="">
      <xdr:nvSpPr>
        <xdr:cNvPr id="84" name="Abgerundetes Rechteck 83"/>
        <xdr:cNvSpPr/>
      </xdr:nvSpPr>
      <xdr:spPr>
        <a:xfrm>
          <a:off x="1533525" y="5257801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32</xdr:row>
      <xdr:rowOff>190500</xdr:rowOff>
    </xdr:from>
    <xdr:to>
      <xdr:col>46</xdr:col>
      <xdr:colOff>47625</xdr:colOff>
      <xdr:row>33</xdr:row>
      <xdr:rowOff>66675</xdr:rowOff>
    </xdr:to>
    <xdr:sp macro="" textlink="">
      <xdr:nvSpPr>
        <xdr:cNvPr id="85" name="Abgerundetes Rechteck 84"/>
        <xdr:cNvSpPr/>
      </xdr:nvSpPr>
      <xdr:spPr>
        <a:xfrm>
          <a:off x="6715125" y="7724775"/>
          <a:ext cx="400050" cy="7239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34</xdr:row>
      <xdr:rowOff>114300</xdr:rowOff>
    </xdr:from>
    <xdr:to>
      <xdr:col>65</xdr:col>
      <xdr:colOff>161925</xdr:colOff>
      <xdr:row>37</xdr:row>
      <xdr:rowOff>76200</xdr:rowOff>
    </xdr:to>
    <xdr:sp macro="" textlink="">
      <xdr:nvSpPr>
        <xdr:cNvPr id="87" name="Abgerundetes Rechteck 86"/>
        <xdr:cNvSpPr/>
      </xdr:nvSpPr>
      <xdr:spPr>
        <a:xfrm>
          <a:off x="1990726" y="659130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34</xdr:row>
      <xdr:rowOff>123826</xdr:rowOff>
    </xdr:from>
    <xdr:to>
      <xdr:col>46</xdr:col>
      <xdr:colOff>47625</xdr:colOff>
      <xdr:row>36</xdr:row>
      <xdr:rowOff>114300</xdr:rowOff>
    </xdr:to>
    <xdr:sp macro="" textlink="">
      <xdr:nvSpPr>
        <xdr:cNvPr id="88" name="Abgerundetes Rechteck 87"/>
        <xdr:cNvSpPr/>
      </xdr:nvSpPr>
      <xdr:spPr>
        <a:xfrm>
          <a:off x="1533525" y="6600826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36</xdr:row>
      <xdr:rowOff>190500</xdr:rowOff>
    </xdr:from>
    <xdr:to>
      <xdr:col>46</xdr:col>
      <xdr:colOff>47625</xdr:colOff>
      <xdr:row>37</xdr:row>
      <xdr:rowOff>66675</xdr:rowOff>
    </xdr:to>
    <xdr:sp macro="" textlink="">
      <xdr:nvSpPr>
        <xdr:cNvPr id="89" name="Abgerundetes Rechteck 88"/>
        <xdr:cNvSpPr/>
      </xdr:nvSpPr>
      <xdr:spPr>
        <a:xfrm>
          <a:off x="1533525" y="701992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31</xdr:row>
          <xdr:rowOff>85725</xdr:rowOff>
        </xdr:from>
        <xdr:to>
          <xdr:col>13</xdr:col>
          <xdr:colOff>114300</xdr:colOff>
          <xdr:row>32</xdr:row>
          <xdr:rowOff>66675</xdr:rowOff>
        </xdr:to>
        <xdr:sp macro="" textlink="">
          <xdr:nvSpPr>
            <xdr:cNvPr id="4122" name="OptionButton4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35</xdr:row>
          <xdr:rowOff>76200</xdr:rowOff>
        </xdr:from>
        <xdr:to>
          <xdr:col>13</xdr:col>
          <xdr:colOff>114300</xdr:colOff>
          <xdr:row>36</xdr:row>
          <xdr:rowOff>57150</xdr:rowOff>
        </xdr:to>
        <xdr:sp macro="" textlink="">
          <xdr:nvSpPr>
            <xdr:cNvPr id="4123" name="OptionButton5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19</xdr:row>
          <xdr:rowOff>66675</xdr:rowOff>
        </xdr:from>
        <xdr:to>
          <xdr:col>45</xdr:col>
          <xdr:colOff>104775</xdr:colOff>
          <xdr:row>20</xdr:row>
          <xdr:rowOff>47625</xdr:rowOff>
        </xdr:to>
        <xdr:sp macro="" textlink="">
          <xdr:nvSpPr>
            <xdr:cNvPr id="4124" name="OptionButton6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23</xdr:row>
          <xdr:rowOff>66675</xdr:rowOff>
        </xdr:from>
        <xdr:to>
          <xdr:col>45</xdr:col>
          <xdr:colOff>104775</xdr:colOff>
          <xdr:row>24</xdr:row>
          <xdr:rowOff>47625</xdr:rowOff>
        </xdr:to>
        <xdr:sp macro="" textlink="">
          <xdr:nvSpPr>
            <xdr:cNvPr id="4125" name="OptionButton7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27</xdr:row>
          <xdr:rowOff>66675</xdr:rowOff>
        </xdr:from>
        <xdr:to>
          <xdr:col>45</xdr:col>
          <xdr:colOff>104775</xdr:colOff>
          <xdr:row>28</xdr:row>
          <xdr:rowOff>47625</xdr:rowOff>
        </xdr:to>
        <xdr:sp macro="" textlink="">
          <xdr:nvSpPr>
            <xdr:cNvPr id="4126" name="OptionButton8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31</xdr:row>
          <xdr:rowOff>85725</xdr:rowOff>
        </xdr:from>
        <xdr:to>
          <xdr:col>45</xdr:col>
          <xdr:colOff>104775</xdr:colOff>
          <xdr:row>32</xdr:row>
          <xdr:rowOff>66675</xdr:rowOff>
        </xdr:to>
        <xdr:sp macro="" textlink="">
          <xdr:nvSpPr>
            <xdr:cNvPr id="4127" name="OptionButton9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35</xdr:row>
          <xdr:rowOff>76200</xdr:rowOff>
        </xdr:from>
        <xdr:to>
          <xdr:col>45</xdr:col>
          <xdr:colOff>104775</xdr:colOff>
          <xdr:row>36</xdr:row>
          <xdr:rowOff>57150</xdr:rowOff>
        </xdr:to>
        <xdr:sp macro="" textlink="">
          <xdr:nvSpPr>
            <xdr:cNvPr id="4128" name="OptionButton10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2</xdr:row>
          <xdr:rowOff>47625</xdr:rowOff>
        </xdr:from>
        <xdr:to>
          <xdr:col>37</xdr:col>
          <xdr:colOff>123825</xdr:colOff>
          <xdr:row>2</xdr:row>
          <xdr:rowOff>209550</xdr:rowOff>
        </xdr:to>
        <xdr:sp macro="" textlink="">
          <xdr:nvSpPr>
            <xdr:cNvPr id="4129" name="OptionButton11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3</xdr:row>
          <xdr:rowOff>38100</xdr:rowOff>
        </xdr:from>
        <xdr:to>
          <xdr:col>38</xdr:col>
          <xdr:colOff>0</xdr:colOff>
          <xdr:row>3</xdr:row>
          <xdr:rowOff>228600</xdr:rowOff>
        </xdr:to>
        <xdr:sp macro="" textlink="">
          <xdr:nvSpPr>
            <xdr:cNvPr id="4130" name="OptionButton12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4</xdr:row>
          <xdr:rowOff>28575</xdr:rowOff>
        </xdr:from>
        <xdr:to>
          <xdr:col>38</xdr:col>
          <xdr:colOff>0</xdr:colOff>
          <xdr:row>4</xdr:row>
          <xdr:rowOff>219075</xdr:rowOff>
        </xdr:to>
        <xdr:sp macro="" textlink="">
          <xdr:nvSpPr>
            <xdr:cNvPr id="4131" name="OptionButton13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5</xdr:row>
          <xdr:rowOff>38100</xdr:rowOff>
        </xdr:from>
        <xdr:to>
          <xdr:col>38</xdr:col>
          <xdr:colOff>0</xdr:colOff>
          <xdr:row>5</xdr:row>
          <xdr:rowOff>228600</xdr:rowOff>
        </xdr:to>
        <xdr:sp macro="" textlink="">
          <xdr:nvSpPr>
            <xdr:cNvPr id="4132" name="OptionButton14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6</xdr:row>
          <xdr:rowOff>38100</xdr:rowOff>
        </xdr:from>
        <xdr:to>
          <xdr:col>38</xdr:col>
          <xdr:colOff>0</xdr:colOff>
          <xdr:row>6</xdr:row>
          <xdr:rowOff>228600</xdr:rowOff>
        </xdr:to>
        <xdr:sp macro="" textlink="">
          <xdr:nvSpPr>
            <xdr:cNvPr id="4133" name="OptionButton15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40</xdr:col>
      <xdr:colOff>114300</xdr:colOff>
      <xdr:row>2</xdr:row>
      <xdr:rowOff>104775</xdr:rowOff>
    </xdr:from>
    <xdr:to>
      <xdr:col>41</xdr:col>
      <xdr:colOff>95100</xdr:colOff>
      <xdr:row>9</xdr:row>
      <xdr:rowOff>161925</xdr:rowOff>
    </xdr:to>
    <xdr:sp macro="" textlink="">
      <xdr:nvSpPr>
        <xdr:cNvPr id="26" name="Freihandform 25"/>
        <xdr:cNvSpPr/>
      </xdr:nvSpPr>
      <xdr:spPr>
        <a:xfrm>
          <a:off x="6115050" y="485775"/>
          <a:ext cx="133200" cy="1295400"/>
        </a:xfrm>
        <a:custGeom>
          <a:avLst/>
          <a:gdLst>
            <a:gd name="connsiteX0" fmla="*/ 0 w 133350"/>
            <a:gd name="connsiteY0" fmla="*/ 0 h 971550"/>
            <a:gd name="connsiteX1" fmla="*/ 0 w 133350"/>
            <a:gd name="connsiteY1" fmla="*/ 971550 h 971550"/>
            <a:gd name="connsiteX2" fmla="*/ 133350 w 133350"/>
            <a:gd name="connsiteY2" fmla="*/ 971550 h 9715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33350" h="971550">
              <a:moveTo>
                <a:pt x="0" y="0"/>
              </a:moveTo>
              <a:lnTo>
                <a:pt x="0" y="971550"/>
              </a:lnTo>
              <a:lnTo>
                <a:pt x="133350" y="971550"/>
              </a:lnTo>
            </a:path>
          </a:pathLst>
        </a:custGeom>
        <a:noFill/>
        <a:ln w="50800">
          <a:solidFill>
            <a:schemeClr val="bg1"/>
          </a:solidFill>
          <a:tailEnd type="triangle" w="sm" len="sm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65</xdr:col>
          <xdr:colOff>38100</xdr:colOff>
          <xdr:row>5</xdr:row>
          <xdr:rowOff>0</xdr:rowOff>
        </xdr:from>
        <xdr:to>
          <xdr:col>66</xdr:col>
          <xdr:colOff>47625</xdr:colOff>
          <xdr:row>6</xdr:row>
          <xdr:rowOff>0</xdr:rowOff>
        </xdr:to>
        <xdr:sp macro="" textlink="">
          <xdr:nvSpPr>
            <xdr:cNvPr id="4134" name="Spinner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>
    <xdr:from>
      <xdr:col>55</xdr:col>
      <xdr:colOff>133349</xdr:colOff>
      <xdr:row>5</xdr:row>
      <xdr:rowOff>117225</xdr:rowOff>
    </xdr:from>
    <xdr:to>
      <xdr:col>56</xdr:col>
      <xdr:colOff>114149</xdr:colOff>
      <xdr:row>9</xdr:row>
      <xdr:rowOff>161925</xdr:rowOff>
    </xdr:to>
    <xdr:sp macro="" textlink="">
      <xdr:nvSpPr>
        <xdr:cNvPr id="70" name="Freihandform 69"/>
        <xdr:cNvSpPr/>
      </xdr:nvSpPr>
      <xdr:spPr>
        <a:xfrm>
          <a:off x="8420099" y="1241175"/>
          <a:ext cx="133200" cy="540000"/>
        </a:xfrm>
        <a:custGeom>
          <a:avLst/>
          <a:gdLst>
            <a:gd name="connsiteX0" fmla="*/ 0 w 133350"/>
            <a:gd name="connsiteY0" fmla="*/ 0 h 971550"/>
            <a:gd name="connsiteX1" fmla="*/ 0 w 133350"/>
            <a:gd name="connsiteY1" fmla="*/ 971550 h 971550"/>
            <a:gd name="connsiteX2" fmla="*/ 133350 w 133350"/>
            <a:gd name="connsiteY2" fmla="*/ 971550 h 9715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33350" h="971550">
              <a:moveTo>
                <a:pt x="0" y="0"/>
              </a:moveTo>
              <a:lnTo>
                <a:pt x="0" y="971550"/>
              </a:lnTo>
              <a:lnTo>
                <a:pt x="133350" y="971550"/>
              </a:lnTo>
            </a:path>
          </a:pathLst>
        </a:custGeom>
        <a:noFill/>
        <a:ln w="50800">
          <a:solidFill>
            <a:schemeClr val="bg1"/>
          </a:solidFill>
          <a:tailEnd type="triangle" w="sm" len="sm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85725</xdr:colOff>
          <xdr:row>9</xdr:row>
          <xdr:rowOff>57150</xdr:rowOff>
        </xdr:from>
        <xdr:to>
          <xdr:col>59</xdr:col>
          <xdr:colOff>85725</xdr:colOff>
          <xdr:row>9</xdr:row>
          <xdr:rowOff>219075</xdr:rowOff>
        </xdr:to>
        <xdr:sp macro="" textlink="">
          <xdr:nvSpPr>
            <xdr:cNvPr id="4139" name="OptionButton16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85725</xdr:colOff>
          <xdr:row>11</xdr:row>
          <xdr:rowOff>66675</xdr:rowOff>
        </xdr:from>
        <xdr:to>
          <xdr:col>59</xdr:col>
          <xdr:colOff>104775</xdr:colOff>
          <xdr:row>11</xdr:row>
          <xdr:rowOff>219075</xdr:rowOff>
        </xdr:to>
        <xdr:sp macro="" textlink="">
          <xdr:nvSpPr>
            <xdr:cNvPr id="4140" name="OptionButton17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" name="Tabelle2" displayName="Tabelle2" ref="A1:AN393" totalsRowShown="0" headerRowDxfId="41" dataDxfId="40" tableBorderDxfId="39">
  <autoFilter ref="A1:AN393"/>
  <tableColumns count="40">
    <tableColumn id="1" name="passt">
      <calculatedColumnFormula>IF(E2+F2+G2+H2+I2+C2+D2=3,1,"")</calculatedColumnFormula>
    </tableColumn>
    <tableColumn id="38" name="passt2" dataDxfId="38">
      <calculatedColumnFormula>IF(F2+G2+H2+I2+D2+E2=2,1,"")</calculatedColumnFormula>
    </tableColumn>
    <tableColumn id="2" name="Typ" dataDxfId="37">
      <calculatedColumnFormula>IF('Material+Limits'!$P$4=TRUE,1,0)</calculatedColumnFormula>
    </tableColumn>
    <tableColumn id="3" name="Maße+Gewicht" dataDxfId="36">
      <calculatedColumnFormula>IF(Daten!$O2+Daten!$P2+Daten!$R2=3,1,0)</calculatedColumnFormula>
    </tableColumn>
    <tableColumn id="4" name="s_holz" dataDxfId="35">
      <calculatedColumnFormula>IF(AND('Material+Limits'!$Q$21=TRUE,Daten!N2=1)=TRUE,1,0)</calculatedColumnFormula>
    </tableColumn>
    <tableColumn id="5" name="S_Alu17" dataDxfId="34">
      <calculatedColumnFormula>IF(AND('Material+Limits'!$Q$25=TRUE,Daten!M2=1)=TRUE,1,0)</calculatedColumnFormula>
    </tableColumn>
    <tableColumn id="6" name="S_Alu16" dataDxfId="33">
      <calculatedColumnFormula>IF(AND('Material+Limits'!$Q$24=TRUE,Daten!L2=1)=TRUE,1,0)</calculatedColumnFormula>
    </tableColumn>
    <tableColumn id="7" name="S_Alu14" dataDxfId="32">
      <calculatedColumnFormula>IF(AND('Material+Limits'!$Q$23=TRUE,Daten!K2=1)=TRUE,1,0)</calculatedColumnFormula>
    </tableColumn>
    <tableColumn id="8" name="S_Alu13" dataDxfId="31">
      <calculatedColumnFormula>IF(AND('Material+Limits'!$Q$22=TRUE,Daten!J2=1)=TRUE,1,0)</calculatedColumnFormula>
    </tableColumn>
    <tableColumn id="9" name="Alu 13" dataDxfId="30">
      <calculatedColumnFormula>IF(Daten!$U2=13,1,0)</calculatedColumnFormula>
    </tableColumn>
    <tableColumn id="10" name="Alu 14" dataDxfId="29">
      <calculatedColumnFormula>IF(Daten!$U2&lt;&gt;Daten!$V2,1,IF(Daten!$U2=14,1,0))</calculatedColumnFormula>
    </tableColumn>
    <tableColumn id="11" name="Alu 16" dataDxfId="28">
      <calculatedColumnFormula>IF(Daten!$U2&lt;&gt;Daten!$V2,1,IF(Daten!$U2=16,1,0))</calculatedColumnFormula>
    </tableColumn>
    <tableColumn id="12" name="Alu 17" dataDxfId="27">
      <calculatedColumnFormula>IF(Daten!$V2=17,1,0)</calculatedColumnFormula>
    </tableColumn>
    <tableColumn id="13" name="Holz" dataDxfId="26">
      <calculatedColumnFormula>IF(Daten!$W2=Sprache!$A$60,1,0)</calculatedColumnFormula>
    </tableColumn>
    <tableColumn id="18" name="Breite" dataDxfId="25">
      <calculatedColumnFormula>IF(AND(Daten!$AK2&lt;=KINVARO!$AW$3,Daten!$AL2&gt;=KINVARO!$AW$3)=TRUE,1,0)</calculatedColumnFormula>
    </tableColumn>
    <tableColumn id="19" name="Höhe" dataDxfId="24">
      <calculatedColumnFormula>IF(AND(Daten!$Z2&lt;=KINVARO!$AW$4,Daten!$AA2&gt;=KINVARO!$AW$4)=TRUE,1,0)</calculatedColumnFormula>
    </tableColumn>
    <tableColumn id="20" name="Tiefe" dataDxfId="23"/>
    <tableColumn id="21" name="Gewicht" dataDxfId="22">
      <calculatedColumnFormula>IF(AND(Daten!$AC2&lt;='Material+Limits'!$I$58,Daten!$AD2&gt;='Material+Limits'!$I$58)=TRUE,1,0)</calculatedColumnFormula>
    </tableColumn>
    <tableColumn id="22" name="Werkzeuglos" dataDxfId="21">
      <calculatedColumnFormula>IF(Daten!$X2=Sprache!$A$125,1,0)</calculatedColumnFormula>
    </tableColumn>
    <tableColumn id="14" name="Kinvaro" dataDxfId="20">
      <calculatedColumnFormula>Sprache!$A$59</calculatedColumnFormula>
    </tableColumn>
    <tableColumn id="15" name="von     Auflage" dataDxfId="19"/>
    <tableColumn id="16" name="bis" dataDxfId="18"/>
    <tableColumn id="17" name="Ausführung für" dataDxfId="17"/>
    <tableColumn id="23" name="Werkzeuglos2" dataDxfId="16">
      <calculatedColumnFormula>Sprache!$A$126</calculatedColumnFormula>
    </tableColumn>
    <tableColumn id="24" name="Höhe2" dataDxfId="15">
      <calculatedColumnFormula>Sprache!$A$69</calculatedColumnFormula>
    </tableColumn>
    <tableColumn id="25" name="min" dataDxfId="14"/>
    <tableColumn id="26" name="max" dataDxfId="13"/>
    <tableColumn id="27" name="Dicke" dataDxfId="12"/>
    <tableColumn id="28" name="min  Klappengewicht" dataDxfId="11"/>
    <tableColumn id="29" name="max      incl. Griff" dataDxfId="10"/>
    <tableColumn id="30" name="BestNr" dataDxfId="9"/>
    <tableColumn id="31" name="Seite" dataDxfId="8">
      <calculatedColumnFormula>Sprache!$A$101</calculatedColumnFormula>
    </tableColumn>
    <tableColumn id="32" name="Information" dataDxfId="7"/>
    <tableColumn id="33" name="Kraftmanagement" dataDxfId="6"/>
    <tableColumn id="34" name="Zubehör" dataDxfId="5"/>
    <tableColumn id="35" name="BestNr Zubehör" dataDxfId="4"/>
    <tableColumn id="36" name="min   Breite" dataDxfId="3"/>
    <tableColumn id="37" name="max Breite" dataDxfId="2"/>
    <tableColumn id="39" name="Scharnier" dataDxfId="1"/>
    <tableColumn id="40" name="Montageplatte" dataDxfId="0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control" Target="../activeX/activeX6.xml"/><Relationship Id="rId18" Type="http://schemas.openxmlformats.org/officeDocument/2006/relationships/control" Target="../activeX/activeX11.xml"/><Relationship Id="rId26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1" Type="http://schemas.openxmlformats.org/officeDocument/2006/relationships/control" Target="../activeX/activeX14.xml"/><Relationship Id="rId34" Type="http://schemas.openxmlformats.org/officeDocument/2006/relationships/ctrlProp" Target="../ctrlProps/ctrlProp9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control" Target="../activeX/activeX10.xml"/><Relationship Id="rId25" Type="http://schemas.openxmlformats.org/officeDocument/2006/relationships/control" Target="../activeX/activeX17.xml"/><Relationship Id="rId33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6" Type="http://schemas.openxmlformats.org/officeDocument/2006/relationships/control" Target="../activeX/activeX9.xml"/><Relationship Id="rId20" Type="http://schemas.openxmlformats.org/officeDocument/2006/relationships/control" Target="../activeX/activeX13.xml"/><Relationship Id="rId29" Type="http://schemas.openxmlformats.org/officeDocument/2006/relationships/ctrlProp" Target="../ctrlProps/ctrlProp4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ontrol" Target="../activeX/activeX16.xml"/><Relationship Id="rId32" Type="http://schemas.openxmlformats.org/officeDocument/2006/relationships/ctrlProp" Target="../ctrlProps/ctrlProp7.xml"/><Relationship Id="rId5" Type="http://schemas.openxmlformats.org/officeDocument/2006/relationships/image" Target="../media/image1.emf"/><Relationship Id="rId15" Type="http://schemas.openxmlformats.org/officeDocument/2006/relationships/control" Target="../activeX/activeX8.xml"/><Relationship Id="rId23" Type="http://schemas.openxmlformats.org/officeDocument/2006/relationships/control" Target="../activeX/activeX15.xml"/><Relationship Id="rId28" Type="http://schemas.openxmlformats.org/officeDocument/2006/relationships/ctrlProp" Target="../ctrlProps/ctrlProp3.xml"/><Relationship Id="rId10" Type="http://schemas.openxmlformats.org/officeDocument/2006/relationships/control" Target="../activeX/activeX4.xml"/><Relationship Id="rId19" Type="http://schemas.openxmlformats.org/officeDocument/2006/relationships/control" Target="../activeX/activeX12.xml"/><Relationship Id="rId31" Type="http://schemas.openxmlformats.org/officeDocument/2006/relationships/ctrlProp" Target="../ctrlProps/ctrlProp6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7.xml"/><Relationship Id="rId22" Type="http://schemas.openxmlformats.org/officeDocument/2006/relationships/image" Target="../media/image5.emf"/><Relationship Id="rId27" Type="http://schemas.openxmlformats.org/officeDocument/2006/relationships/ctrlProp" Target="../ctrlProps/ctrlProp2.xml"/><Relationship Id="rId30" Type="http://schemas.openxmlformats.org/officeDocument/2006/relationships/ctrlProp" Target="../ctrlProps/ctrlProp5.xml"/><Relationship Id="rId35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grass.at/" TargetMode="External"/><Relationship Id="rId13" Type="http://schemas.openxmlformats.org/officeDocument/2006/relationships/hyperlink" Target="http://www.grass.at/" TargetMode="External"/><Relationship Id="rId18" Type="http://schemas.openxmlformats.org/officeDocument/2006/relationships/hyperlink" Target="http://www.grass.at/" TargetMode="External"/><Relationship Id="rId26" Type="http://schemas.openxmlformats.org/officeDocument/2006/relationships/hyperlink" Target="http://www.grass.at/" TargetMode="External"/><Relationship Id="rId39" Type="http://schemas.openxmlformats.org/officeDocument/2006/relationships/hyperlink" Target="http://www.grass.at/" TargetMode="External"/><Relationship Id="rId3" Type="http://schemas.openxmlformats.org/officeDocument/2006/relationships/hyperlink" Target="http://www.grass.at/fileadmin/downloads/DEU/Bedienungsanleitungen/Kinvaro/Kinvaro_L-80_Einbauanleitung_2._Generation.pdf" TargetMode="External"/><Relationship Id="rId21" Type="http://schemas.openxmlformats.org/officeDocument/2006/relationships/hyperlink" Target="http://www.grass.at/" TargetMode="External"/><Relationship Id="rId34" Type="http://schemas.openxmlformats.org/officeDocument/2006/relationships/hyperlink" Target="http://www.grass.at/fileadmin/downloads/DEU/Bedienungsanleitungen/Kinvaro/Kinvaro_S-35_Einbauanleitung_2_Generation.pdf" TargetMode="External"/><Relationship Id="rId42" Type="http://schemas.openxmlformats.org/officeDocument/2006/relationships/hyperlink" Target="http://mydictionary.dyndns.org/dictionary/tr_de/de/translation/index.jsp?input=abanoz&amp;trans_direction=12&amp;res_mode=10" TargetMode="External"/><Relationship Id="rId7" Type="http://schemas.openxmlformats.org/officeDocument/2006/relationships/hyperlink" Target="http://www.grass.at/" TargetMode="External"/><Relationship Id="rId12" Type="http://schemas.openxmlformats.org/officeDocument/2006/relationships/hyperlink" Target="http://www.grass.at/" TargetMode="External"/><Relationship Id="rId17" Type="http://schemas.openxmlformats.org/officeDocument/2006/relationships/hyperlink" Target="http://www.grass.at/" TargetMode="External"/><Relationship Id="rId25" Type="http://schemas.openxmlformats.org/officeDocument/2006/relationships/hyperlink" Target="http://www.grass.at/" TargetMode="External"/><Relationship Id="rId33" Type="http://schemas.openxmlformats.org/officeDocument/2006/relationships/hyperlink" Target="http://www.grass.at/fileadmin/downloads/DEU/Bedienungsanleitungen/Kinvaro/Kinvaro_L-80_Einbauanleitung_2._Generation.pdf" TargetMode="External"/><Relationship Id="rId38" Type="http://schemas.openxmlformats.org/officeDocument/2006/relationships/hyperlink" Target="http://www.grass.at/" TargetMode="External"/><Relationship Id="rId46" Type="http://schemas.openxmlformats.org/officeDocument/2006/relationships/comments" Target="../comments2.xml"/><Relationship Id="rId2" Type="http://schemas.openxmlformats.org/officeDocument/2006/relationships/hyperlink" Target="http://www.grass.at/fileadmin/downloads/DEU/Bedienungsanleitungen/Kinvaro/Kinvaro_S-35_Einbauanleitung_2_Generation.pdf" TargetMode="External"/><Relationship Id="rId16" Type="http://schemas.openxmlformats.org/officeDocument/2006/relationships/hyperlink" Target="http://www.grass.at/" TargetMode="External"/><Relationship Id="rId20" Type="http://schemas.openxmlformats.org/officeDocument/2006/relationships/hyperlink" Target="http://www.grass.at/" TargetMode="External"/><Relationship Id="rId29" Type="http://schemas.openxmlformats.org/officeDocument/2006/relationships/hyperlink" Target="http://www.grass.at/" TargetMode="External"/><Relationship Id="rId41" Type="http://schemas.openxmlformats.org/officeDocument/2006/relationships/hyperlink" Target="http://www.grass.at/" TargetMode="External"/><Relationship Id="rId1" Type="http://schemas.openxmlformats.org/officeDocument/2006/relationships/hyperlink" Target="http://www.grass.at/fileadmin/downloads/DEU/Bedienungsanleitungen/Kinvaro/Kinvaro_F-20_Einbauanleitung_2_Generation.pdf" TargetMode="External"/><Relationship Id="rId6" Type="http://schemas.openxmlformats.org/officeDocument/2006/relationships/hyperlink" Target="http://www.grass.at/" TargetMode="External"/><Relationship Id="rId11" Type="http://schemas.openxmlformats.org/officeDocument/2006/relationships/hyperlink" Target="http://www.grass.at/" TargetMode="External"/><Relationship Id="rId24" Type="http://schemas.openxmlformats.org/officeDocument/2006/relationships/hyperlink" Target="http://www.grass.at/" TargetMode="External"/><Relationship Id="rId32" Type="http://schemas.openxmlformats.org/officeDocument/2006/relationships/hyperlink" Target="http://www.grass.at/fileadmin/downloads/DEU/Bedienungsanleitungen/Kinvaro/Kinvaro_F-20_Einbauanleitung_2_Generation.pdf" TargetMode="External"/><Relationship Id="rId37" Type="http://schemas.openxmlformats.org/officeDocument/2006/relationships/hyperlink" Target="http://www.grass.at/" TargetMode="External"/><Relationship Id="rId40" Type="http://schemas.openxmlformats.org/officeDocument/2006/relationships/hyperlink" Target="http://www.grass.at/" TargetMode="External"/><Relationship Id="rId45" Type="http://schemas.openxmlformats.org/officeDocument/2006/relationships/vmlDrawing" Target="../drawings/vmlDrawing3.vml"/><Relationship Id="rId5" Type="http://schemas.openxmlformats.org/officeDocument/2006/relationships/hyperlink" Target="http://www.grass.at/" TargetMode="External"/><Relationship Id="rId15" Type="http://schemas.openxmlformats.org/officeDocument/2006/relationships/hyperlink" Target="http://www.grass.at/" TargetMode="External"/><Relationship Id="rId23" Type="http://schemas.openxmlformats.org/officeDocument/2006/relationships/hyperlink" Target="http://www.grass.at/" TargetMode="External"/><Relationship Id="rId28" Type="http://schemas.openxmlformats.org/officeDocument/2006/relationships/hyperlink" Target="http://www.grass.at/" TargetMode="External"/><Relationship Id="rId36" Type="http://schemas.openxmlformats.org/officeDocument/2006/relationships/hyperlink" Target="http://www.grass.at/" TargetMode="External"/><Relationship Id="rId10" Type="http://schemas.openxmlformats.org/officeDocument/2006/relationships/hyperlink" Target="http://www.grass.at/" TargetMode="External"/><Relationship Id="rId19" Type="http://schemas.openxmlformats.org/officeDocument/2006/relationships/hyperlink" Target="http://www.grass.at/" TargetMode="External"/><Relationship Id="rId31" Type="http://schemas.openxmlformats.org/officeDocument/2006/relationships/hyperlink" Target="http://www.grass.at/" TargetMode="External"/><Relationship Id="rId44" Type="http://schemas.openxmlformats.org/officeDocument/2006/relationships/printerSettings" Target="../printerSettings/printerSettings3.bin"/><Relationship Id="rId4" Type="http://schemas.openxmlformats.org/officeDocument/2006/relationships/hyperlink" Target="http://www.grass.at/" TargetMode="External"/><Relationship Id="rId9" Type="http://schemas.openxmlformats.org/officeDocument/2006/relationships/hyperlink" Target="http://www.grass.at/" TargetMode="External"/><Relationship Id="rId14" Type="http://schemas.openxmlformats.org/officeDocument/2006/relationships/hyperlink" Target="http://www.grass.at/" TargetMode="External"/><Relationship Id="rId22" Type="http://schemas.openxmlformats.org/officeDocument/2006/relationships/hyperlink" Target="http://www.grass.at/" TargetMode="External"/><Relationship Id="rId27" Type="http://schemas.openxmlformats.org/officeDocument/2006/relationships/hyperlink" Target="http://www.grass.at/" TargetMode="External"/><Relationship Id="rId30" Type="http://schemas.openxmlformats.org/officeDocument/2006/relationships/hyperlink" Target="http://www.grass.at/" TargetMode="External"/><Relationship Id="rId35" Type="http://schemas.openxmlformats.org/officeDocument/2006/relationships/hyperlink" Target="http://www.grass.at/" TargetMode="External"/><Relationship Id="rId43" Type="http://schemas.openxmlformats.org/officeDocument/2006/relationships/hyperlink" Target="http://www.grass.at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pageSetUpPr fitToPage="1"/>
  </sheetPr>
  <dimension ref="A1:DC688"/>
  <sheetViews>
    <sheetView showGridLines="0" showRowColHeaders="0" tabSelected="1" topLeftCell="A7" zoomScale="80" zoomScaleNormal="80" workbookViewId="0">
      <selection activeCell="X9" sqref="X9:AL13"/>
    </sheetView>
  </sheetViews>
  <sheetFormatPr baseColWidth="10" defaultRowHeight="15" x14ac:dyDescent="0.25"/>
  <cols>
    <col min="1" max="1" width="3.140625" style="88" customWidth="1"/>
    <col min="2" max="68" width="2.28515625" customWidth="1"/>
    <col min="69" max="69" width="2.5703125" customWidth="1"/>
    <col min="70" max="70" width="2.5703125" style="88" customWidth="1"/>
    <col min="71" max="71" width="4.42578125" style="88" customWidth="1"/>
    <col min="72" max="72" width="22.28515625" style="88" customWidth="1"/>
    <col min="73" max="73" width="5" style="88" customWidth="1"/>
    <col min="74" max="77" width="11.42578125" style="88"/>
    <col min="78" max="78" width="12.7109375" style="88" bestFit="1" customWidth="1"/>
    <col min="79" max="79" width="11.42578125" style="88"/>
    <col min="80" max="80" width="17.7109375" style="88" customWidth="1"/>
    <col min="81" max="82" width="3.7109375" style="88" bestFit="1" customWidth="1"/>
    <col min="83" max="83" width="4.7109375" style="88" customWidth="1"/>
    <col min="84" max="84" width="39.85546875" style="88" bestFit="1" customWidth="1"/>
    <col min="85" max="107" width="11.42578125" style="88"/>
  </cols>
  <sheetData>
    <row r="1" spans="2:71" s="88" customFormat="1" x14ac:dyDescent="0.25"/>
    <row r="2" spans="2:71" x14ac:dyDescent="0.25">
      <c r="B2" s="15"/>
      <c r="C2" s="15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3" t="str">
        <f ca="1">Sprache!$A$62</f>
        <v>Wykonanie</v>
      </c>
      <c r="Y2" s="194"/>
      <c r="Z2" s="194"/>
      <c r="AA2" s="194"/>
      <c r="AB2" s="194"/>
      <c r="AC2" s="194"/>
      <c r="AD2" s="194"/>
      <c r="AE2" s="194"/>
      <c r="AF2" s="194"/>
      <c r="AG2" s="192"/>
      <c r="AH2" s="194"/>
      <c r="AI2" s="195"/>
      <c r="AJ2" s="195"/>
      <c r="AK2" s="195"/>
      <c r="AL2" s="192"/>
      <c r="AM2" s="192"/>
      <c r="AN2" s="194"/>
      <c r="AO2" s="194"/>
      <c r="AP2" s="194"/>
      <c r="AQ2" s="193" t="str">
        <f ca="1">Sprache!$A$69</f>
        <v>Front</v>
      </c>
      <c r="AR2" s="194"/>
      <c r="AS2" s="194"/>
      <c r="AT2" s="194"/>
      <c r="AU2" s="194"/>
      <c r="AV2" s="192"/>
      <c r="AW2" s="306" t="s">
        <v>149</v>
      </c>
      <c r="AX2" s="306"/>
      <c r="AY2" s="306"/>
      <c r="AZ2" s="306"/>
      <c r="BA2" s="194"/>
      <c r="BB2" s="192"/>
      <c r="BC2" s="192"/>
      <c r="BD2" s="192"/>
      <c r="BE2" s="192"/>
      <c r="BF2" s="192"/>
      <c r="BG2" s="192"/>
      <c r="BH2" s="194"/>
      <c r="BI2" s="194"/>
      <c r="BJ2" s="194"/>
      <c r="BK2" s="194"/>
      <c r="BL2" s="194"/>
      <c r="BM2" s="194"/>
      <c r="BN2" s="194"/>
      <c r="BO2" s="194"/>
      <c r="BP2" s="90"/>
      <c r="BQ2" s="15"/>
      <c r="BS2" s="92"/>
    </row>
    <row r="3" spans="2:71" ht="19.5" customHeight="1" thickBot="1" x14ac:dyDescent="0.3">
      <c r="B3" s="15"/>
      <c r="C3" s="15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6" t="str">
        <f ca="1">Sprache!$A$60</f>
        <v>Front lity (drewno/płyta)</v>
      </c>
      <c r="Y3" s="196"/>
      <c r="Z3" s="197"/>
      <c r="AA3" s="197"/>
      <c r="AB3" s="197"/>
      <c r="AC3" s="197"/>
      <c r="AD3" s="197"/>
      <c r="AE3" s="197"/>
      <c r="AF3" s="197"/>
      <c r="AG3" s="197"/>
      <c r="AH3" s="197"/>
      <c r="AI3" s="198"/>
      <c r="AJ3" s="197"/>
      <c r="AK3" s="197"/>
      <c r="AL3" s="197"/>
      <c r="AM3" s="192"/>
      <c r="AN3" s="192"/>
      <c r="AO3" s="192"/>
      <c r="AP3" s="192"/>
      <c r="AQ3" s="312" t="str">
        <f ca="1">Sprache!$A$72</f>
        <v>Szerokość</v>
      </c>
      <c r="AR3" s="312"/>
      <c r="AS3" s="312"/>
      <c r="AT3" s="312"/>
      <c r="AU3" s="312"/>
      <c r="AV3" s="199"/>
      <c r="AW3" s="281">
        <v>850</v>
      </c>
      <c r="AX3" s="281"/>
      <c r="AY3" s="281"/>
      <c r="AZ3" s="281"/>
      <c r="BA3" s="200"/>
      <c r="BB3" s="200"/>
      <c r="BC3" s="192"/>
      <c r="BD3" s="192"/>
      <c r="BE3" s="192"/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5"/>
      <c r="BQ3" s="15"/>
    </row>
    <row r="4" spans="2:71" ht="19.5" customHeight="1" x14ac:dyDescent="0.25">
      <c r="B4" s="90"/>
      <c r="C4" s="90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201" t="str">
        <f ca="1">Sprache!$A$61</f>
        <v>Rama alum. 19 mm</v>
      </c>
      <c r="Y4" s="202"/>
      <c r="Z4" s="202"/>
      <c r="AA4" s="202"/>
      <c r="AB4" s="202"/>
      <c r="AC4" s="202"/>
      <c r="AD4" s="202"/>
      <c r="AE4" s="202"/>
      <c r="AF4" s="202"/>
      <c r="AG4" s="202"/>
      <c r="AH4" s="202"/>
      <c r="AI4" s="286" t="str">
        <f ca="1">Sprache!$A$63</f>
        <v>Nachodz. frontu mm</v>
      </c>
      <c r="AJ4" s="300">
        <f ca="1">Sprache!$A$65</f>
        <v>13</v>
      </c>
      <c r="AK4" s="300"/>
      <c r="AL4" s="202"/>
      <c r="AM4" s="192"/>
      <c r="AN4" s="192"/>
      <c r="AO4" s="192"/>
      <c r="AP4" s="192"/>
      <c r="AQ4" s="312" t="str">
        <f ca="1">Sprache!$A$73</f>
        <v>Wysokość</v>
      </c>
      <c r="AR4" s="312"/>
      <c r="AS4" s="312"/>
      <c r="AT4" s="312"/>
      <c r="AU4" s="312"/>
      <c r="AV4" s="200"/>
      <c r="AW4" s="281">
        <v>550</v>
      </c>
      <c r="AX4" s="281"/>
      <c r="AY4" s="281"/>
      <c r="AZ4" s="281"/>
      <c r="BA4" s="200"/>
      <c r="BB4" s="200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  <c r="BN4" s="192"/>
      <c r="BO4" s="192"/>
      <c r="BP4" s="15"/>
      <c r="BQ4" s="15"/>
    </row>
    <row r="5" spans="2:71" ht="19.5" customHeight="1" x14ac:dyDescent="0.25">
      <c r="B5" s="90"/>
      <c r="C5" s="90"/>
      <c r="D5" s="192"/>
      <c r="E5" s="314" t="s">
        <v>100</v>
      </c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19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87"/>
      <c r="AJ5" s="301">
        <f ca="1">Sprache!$A$66</f>
        <v>14</v>
      </c>
      <c r="AK5" s="301"/>
      <c r="AL5" s="202"/>
      <c r="AM5" s="192"/>
      <c r="AN5" s="192"/>
      <c r="AO5" s="192"/>
      <c r="AP5" s="192"/>
      <c r="AQ5" s="312" t="str">
        <f ca="1">Sprache!$A$74</f>
        <v>Grubość</v>
      </c>
      <c r="AR5" s="312"/>
      <c r="AS5" s="312"/>
      <c r="AT5" s="312"/>
      <c r="AU5" s="312"/>
      <c r="AV5" s="200"/>
      <c r="AW5" s="281">
        <v>19</v>
      </c>
      <c r="AX5" s="281"/>
      <c r="AY5" s="281"/>
      <c r="AZ5" s="281"/>
      <c r="BA5" s="200"/>
      <c r="BB5" s="200"/>
      <c r="BC5" s="192"/>
      <c r="BD5" s="192"/>
      <c r="BE5" s="192"/>
      <c r="BF5" s="193" t="str">
        <f ca="1">Sprache!$A$70</f>
        <v>Uchwyt</v>
      </c>
      <c r="BG5" s="192"/>
      <c r="BH5" s="192"/>
      <c r="BI5" s="192"/>
      <c r="BJ5" s="306" t="s">
        <v>149</v>
      </c>
      <c r="BK5" s="306"/>
      <c r="BL5" s="306"/>
      <c r="BM5" s="306"/>
      <c r="BN5" s="192"/>
      <c r="BO5" s="192"/>
      <c r="BP5" s="15"/>
      <c r="BQ5" s="15"/>
    </row>
    <row r="6" spans="2:71" ht="19.5" customHeight="1" x14ac:dyDescent="0.25">
      <c r="B6" s="15"/>
      <c r="C6" s="15"/>
      <c r="D6" s="203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19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87"/>
      <c r="AJ6" s="301">
        <f ca="1">Sprache!$A$67</f>
        <v>16</v>
      </c>
      <c r="AK6" s="301"/>
      <c r="AL6" s="202"/>
      <c r="AM6" s="192"/>
      <c r="AN6" s="192"/>
      <c r="AO6" s="192"/>
      <c r="AP6" s="192"/>
      <c r="AQ6" s="312" t="str">
        <f ca="1">IF('Material+Limits'!K58=2,Sprache!$A$75&amp;"*",Sprache!$A$75)</f>
        <v>Materiał</v>
      </c>
      <c r="AR6" s="312"/>
      <c r="AS6" s="312"/>
      <c r="AT6" s="312"/>
      <c r="AU6" s="312"/>
      <c r="AV6" s="200"/>
      <c r="AW6" s="200"/>
      <c r="AX6" s="200"/>
      <c r="AY6" s="200"/>
      <c r="AZ6" s="200"/>
      <c r="BA6" s="200"/>
      <c r="BB6" s="200"/>
      <c r="BC6" s="192"/>
      <c r="BD6" s="192"/>
      <c r="BE6" s="192"/>
      <c r="BF6" s="310" t="str">
        <f ca="1">Sprache!$A$71</f>
        <v>Długość</v>
      </c>
      <c r="BG6" s="310"/>
      <c r="BH6" s="310"/>
      <c r="BI6" s="311"/>
      <c r="BJ6" s="305">
        <v>470</v>
      </c>
      <c r="BK6" s="305"/>
      <c r="BL6" s="305"/>
      <c r="BM6" s="305"/>
      <c r="BN6" s="202"/>
      <c r="BO6" s="202"/>
      <c r="BP6" s="15"/>
      <c r="BQ6" s="15"/>
    </row>
    <row r="7" spans="2:71" ht="19.5" customHeight="1" x14ac:dyDescent="0.25">
      <c r="B7" s="15"/>
      <c r="C7" s="15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87"/>
      <c r="AJ7" s="301">
        <f ca="1">Sprache!$A$68</f>
        <v>17</v>
      </c>
      <c r="AK7" s="301"/>
      <c r="AL7" s="202"/>
      <c r="AM7" s="192"/>
      <c r="AN7" s="192"/>
      <c r="AO7" s="192"/>
      <c r="AP7" s="192"/>
      <c r="AQ7" s="192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192"/>
      <c r="BD7" s="192"/>
      <c r="BE7" s="192"/>
      <c r="BF7" s="192"/>
      <c r="BG7" s="204"/>
      <c r="BH7" s="204"/>
      <c r="BI7" s="192"/>
      <c r="BJ7" s="192"/>
      <c r="BK7" s="192"/>
      <c r="BL7" s="192"/>
      <c r="BM7" s="192"/>
      <c r="BN7" s="192"/>
      <c r="BO7" s="204"/>
      <c r="BP7" s="87"/>
      <c r="BQ7" s="87"/>
    </row>
    <row r="8" spans="2:71" ht="19.5" customHeight="1" x14ac:dyDescent="0.25">
      <c r="B8" s="15"/>
      <c r="C8" s="15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2"/>
      <c r="AM8" s="192"/>
      <c r="AN8" s="192"/>
      <c r="AO8" s="192"/>
      <c r="AP8" s="192"/>
      <c r="AQ8" s="193" t="str">
        <f ca="1">Sprache!$A$76</f>
        <v>Ciężar</v>
      </c>
      <c r="AR8" s="204"/>
      <c r="AS8" s="205"/>
      <c r="AT8" s="204"/>
      <c r="AU8" s="204"/>
      <c r="AV8" s="204"/>
      <c r="AW8" s="204"/>
      <c r="AX8" s="204"/>
      <c r="AY8" s="204"/>
      <c r="AZ8" s="204"/>
      <c r="BA8" s="204"/>
      <c r="BB8" s="204"/>
      <c r="BC8" s="192"/>
      <c r="BD8" s="192"/>
      <c r="BE8" s="192"/>
      <c r="BF8" s="192"/>
      <c r="BG8" s="204"/>
      <c r="BH8" s="204"/>
      <c r="BI8" s="192"/>
      <c r="BJ8" s="192"/>
      <c r="BK8" s="192"/>
      <c r="BL8" s="192"/>
      <c r="BM8" s="192"/>
      <c r="BN8" s="192"/>
      <c r="BO8" s="204"/>
      <c r="BP8" s="87"/>
      <c r="BQ8" s="87"/>
    </row>
    <row r="9" spans="2:71" ht="19.5" customHeight="1" thickBot="1" x14ac:dyDescent="0.3">
      <c r="B9" s="15"/>
      <c r="C9" s="15"/>
      <c r="D9" s="192"/>
      <c r="E9" s="192"/>
      <c r="F9" s="192"/>
      <c r="G9" s="192"/>
      <c r="H9" s="192"/>
      <c r="I9" s="192"/>
      <c r="J9" s="192"/>
      <c r="K9" s="192"/>
      <c r="L9" s="192"/>
      <c r="M9" s="315" t="str">
        <f ca="1">Sprache!$A$4</f>
        <v>Język</v>
      </c>
      <c r="N9" s="316"/>
      <c r="O9" s="316"/>
      <c r="P9" s="316"/>
      <c r="Q9" s="316"/>
      <c r="R9" s="206"/>
      <c r="S9" s="207"/>
      <c r="T9" s="207"/>
      <c r="U9" s="207"/>
      <c r="V9" s="208"/>
      <c r="W9" s="192"/>
      <c r="X9" s="302" t="str">
        <f>IF('Material+Limits'!K58=2,Sprache!A79,"")</f>
        <v/>
      </c>
      <c r="Y9" s="302"/>
      <c r="Z9" s="302"/>
      <c r="AA9" s="302"/>
      <c r="AB9" s="302"/>
      <c r="AC9" s="302"/>
      <c r="AD9" s="302"/>
      <c r="AE9" s="302"/>
      <c r="AF9" s="302"/>
      <c r="AG9" s="302"/>
      <c r="AH9" s="302"/>
      <c r="AI9" s="302"/>
      <c r="AJ9" s="302"/>
      <c r="AK9" s="302"/>
      <c r="AL9" s="302"/>
      <c r="AM9" s="192"/>
      <c r="AN9" s="192"/>
      <c r="AO9" s="192"/>
      <c r="AP9" s="192"/>
      <c r="AQ9" s="303" t="str">
        <f ca="1">Sprache!$A$91</f>
        <v>wyliczony ciężar</v>
      </c>
      <c r="AR9" s="303"/>
      <c r="AS9" s="303"/>
      <c r="AT9" s="303"/>
      <c r="AU9" s="303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87"/>
      <c r="BQ9" s="87"/>
    </row>
    <row r="10" spans="2:71" ht="19.5" customHeight="1" thickTop="1" thickBot="1" x14ac:dyDescent="0.3">
      <c r="B10" s="15"/>
      <c r="C10" s="15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302"/>
      <c r="Y10" s="302"/>
      <c r="Z10" s="302"/>
      <c r="AA10" s="302"/>
      <c r="AB10" s="302"/>
      <c r="AC10" s="302"/>
      <c r="AD10" s="302"/>
      <c r="AE10" s="302"/>
      <c r="AF10" s="302"/>
      <c r="AG10" s="302"/>
      <c r="AH10" s="302"/>
      <c r="AI10" s="302"/>
      <c r="AJ10" s="302"/>
      <c r="AK10" s="302"/>
      <c r="AL10" s="302"/>
      <c r="AM10" s="192"/>
      <c r="AN10" s="192"/>
      <c r="AO10" s="192"/>
      <c r="AP10" s="192"/>
      <c r="AQ10" s="304"/>
      <c r="AR10" s="304"/>
      <c r="AS10" s="304"/>
      <c r="AT10" s="304"/>
      <c r="AU10" s="304"/>
      <c r="AV10" s="209"/>
      <c r="AW10" s="282">
        <f>'Material+Limits'!D57</f>
        <v>5.77</v>
      </c>
      <c r="AX10" s="282"/>
      <c r="AY10" s="282"/>
      <c r="AZ10" s="282"/>
      <c r="BA10" s="210"/>
      <c r="BB10" s="209"/>
      <c r="BC10" s="209"/>
      <c r="BD10" s="209"/>
      <c r="BE10" s="209"/>
      <c r="BF10" s="209"/>
      <c r="BG10" s="209"/>
      <c r="BH10" s="209"/>
      <c r="BI10" s="209"/>
      <c r="BJ10" s="309">
        <f>BJ6*0.1/100*1000</f>
        <v>470</v>
      </c>
      <c r="BK10" s="309"/>
      <c r="BL10" s="309"/>
      <c r="BM10" s="309"/>
      <c r="BN10" s="209"/>
      <c r="BO10" s="209"/>
      <c r="BP10" s="139"/>
      <c r="BQ10" s="15"/>
    </row>
    <row r="11" spans="2:71" ht="19.5" customHeight="1" thickTop="1" thickBot="1" x14ac:dyDescent="0.3">
      <c r="B11" s="15"/>
      <c r="C11" s="15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302"/>
      <c r="Y11" s="302"/>
      <c r="Z11" s="302"/>
      <c r="AA11" s="302"/>
      <c r="AB11" s="302"/>
      <c r="AC11" s="302"/>
      <c r="AD11" s="302"/>
      <c r="AE11" s="302"/>
      <c r="AF11" s="302"/>
      <c r="AG11" s="302"/>
      <c r="AH11" s="302"/>
      <c r="AI11" s="302"/>
      <c r="AJ11" s="302"/>
      <c r="AK11" s="302"/>
      <c r="AL11" s="302"/>
      <c r="AM11" s="192"/>
      <c r="AN11" s="192"/>
      <c r="AO11" s="192"/>
      <c r="AP11" s="192"/>
      <c r="AQ11" s="303" t="str">
        <f ca="1">Sprache!$A$92</f>
        <v>ręczne wprowadzenie:</v>
      </c>
      <c r="AR11" s="303"/>
      <c r="AS11" s="303"/>
      <c r="AT11" s="303"/>
      <c r="AU11" s="303"/>
      <c r="AV11" s="200"/>
      <c r="AW11" s="211"/>
      <c r="AX11" s="211"/>
      <c r="AY11" s="211"/>
      <c r="AZ11" s="211"/>
      <c r="BA11" s="212"/>
      <c r="BB11" s="200"/>
      <c r="BC11" s="200"/>
      <c r="BD11" s="200"/>
      <c r="BE11" s="200"/>
      <c r="BF11" s="200"/>
      <c r="BG11" s="200"/>
      <c r="BH11" s="200"/>
      <c r="BI11" s="200"/>
      <c r="BJ11" s="213"/>
      <c r="BK11" s="213"/>
      <c r="BL11" s="213"/>
      <c r="BM11" s="213"/>
      <c r="BN11" s="200"/>
      <c r="BO11" s="200"/>
      <c r="BP11" s="141"/>
      <c r="BQ11" s="15"/>
    </row>
    <row r="12" spans="2:71" ht="19.5" customHeight="1" thickBot="1" x14ac:dyDescent="0.3">
      <c r="B12" s="15"/>
      <c r="C12" s="15"/>
      <c r="D12" s="308">
        <f ca="1">Daten!A396</f>
        <v>1</v>
      </c>
      <c r="E12" s="308"/>
      <c r="F12" s="318" t="str">
        <f ca="1">IF(D12=1,Sprache!$A$81 &amp; " "&amp; 'Material+Limits'!$P$2,Sprache!$A$80 &amp; " "&amp; 'Material+Limits'!$P$2)</f>
        <v>Rozwiązanie z F-20</v>
      </c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9"/>
      <c r="U12" s="295" t="s">
        <v>584</v>
      </c>
      <c r="V12" s="296"/>
      <c r="W12" s="192"/>
      <c r="X12" s="302"/>
      <c r="Y12" s="302"/>
      <c r="Z12" s="302"/>
      <c r="AA12" s="302"/>
      <c r="AB12" s="302"/>
      <c r="AC12" s="302"/>
      <c r="AD12" s="302"/>
      <c r="AE12" s="302"/>
      <c r="AF12" s="302"/>
      <c r="AG12" s="302"/>
      <c r="AH12" s="302"/>
      <c r="AI12" s="302"/>
      <c r="AJ12" s="302"/>
      <c r="AK12" s="302"/>
      <c r="AL12" s="302"/>
      <c r="AM12" s="192"/>
      <c r="AN12" s="192"/>
      <c r="AO12" s="192"/>
      <c r="AP12" s="214"/>
      <c r="AQ12" s="304"/>
      <c r="AR12" s="304"/>
      <c r="AS12" s="304"/>
      <c r="AT12" s="304"/>
      <c r="AU12" s="304"/>
      <c r="AV12" s="200"/>
      <c r="AW12" s="283">
        <v>5.8</v>
      </c>
      <c r="AX12" s="284"/>
      <c r="AY12" s="284"/>
      <c r="AZ12" s="285"/>
      <c r="BA12" s="200"/>
      <c r="BB12" s="200"/>
      <c r="BC12" s="200"/>
      <c r="BD12" s="200"/>
      <c r="BE12" s="200"/>
      <c r="BF12" s="200"/>
      <c r="BG12" s="200"/>
      <c r="BH12" s="200"/>
      <c r="BI12" s="200"/>
      <c r="BJ12" s="297">
        <v>0</v>
      </c>
      <c r="BK12" s="298"/>
      <c r="BL12" s="298"/>
      <c r="BM12" s="299"/>
      <c r="BN12" s="200"/>
      <c r="BO12" s="200"/>
      <c r="BP12" s="140"/>
      <c r="BQ12" s="15"/>
    </row>
    <row r="13" spans="2:71" ht="19.5" customHeight="1" thickTop="1" thickBot="1" x14ac:dyDescent="0.3">
      <c r="B13" s="15"/>
      <c r="C13" s="15"/>
      <c r="D13" s="307">
        <f ca="1">Daten!B396</f>
        <v>6</v>
      </c>
      <c r="E13" s="307"/>
      <c r="F13" s="317" t="str">
        <f ca="1">IF(D13=1,Sprache!$A$81 &amp; " KINVARO " &amp; Sprache!$A$82,Sprache!$A$80 &amp; " KINVARO " &amp; Sprache!$A$82)</f>
        <v>Rozwiązania z KINVARO 0</v>
      </c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295" t="s">
        <v>584</v>
      </c>
      <c r="V13" s="296"/>
      <c r="W13" s="19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192"/>
      <c r="AN13" s="192"/>
      <c r="AO13" s="192"/>
      <c r="AP13" s="214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6" t="str">
        <f ca="1">Sprache!$A$93</f>
        <v>razem:</v>
      </c>
      <c r="BB13" s="313">
        <f>'Material+Limits'!I58</f>
        <v>6.27</v>
      </c>
      <c r="BC13" s="313"/>
      <c r="BD13" s="313"/>
      <c r="BE13" s="313"/>
      <c r="BF13" s="313"/>
      <c r="BG13" s="215"/>
      <c r="BH13" s="215"/>
      <c r="BI13" s="215"/>
      <c r="BJ13" s="215"/>
      <c r="BK13" s="215"/>
      <c r="BL13" s="215"/>
      <c r="BM13" s="215"/>
      <c r="BN13" s="215"/>
      <c r="BO13" s="215"/>
      <c r="BP13" s="91"/>
      <c r="BQ13" s="15"/>
    </row>
    <row r="14" spans="2:71" ht="19.5" customHeight="1" thickBot="1" x14ac:dyDescent="0.3">
      <c r="B14" s="15"/>
      <c r="C14" s="15"/>
      <c r="D14" s="217" t="str">
        <f ca="1">Sprache!$A$94</f>
        <v>Rekomendacja</v>
      </c>
      <c r="E14" s="192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218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9"/>
      <c r="AI14" s="219"/>
      <c r="AJ14" s="214"/>
      <c r="AK14" s="214"/>
      <c r="AL14" s="214"/>
      <c r="AM14" s="214"/>
      <c r="AN14" s="214"/>
      <c r="AO14" s="214"/>
      <c r="AP14" s="214"/>
      <c r="AQ14" s="220" t="str">
        <f>IF(AND(AND($AW$3&gt;='Material+Limits'!K9,$AW$3&lt;='Material+Limits'!L9),AND(AW4&gt;='Material+Limits'!K10,AW4&lt;='Material+Limits'!L10))=FALSE,Sprache!A77,IF(AND(BB13&gt;='Material+Limits'!K12,BB13&lt;='Material+Limits'!L12)=FALSE,Sprache!$A$78,""))</f>
        <v/>
      </c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4"/>
      <c r="BD14" s="214"/>
      <c r="BE14" s="214"/>
      <c r="BF14" s="214"/>
      <c r="BG14" s="214"/>
      <c r="BH14" s="214"/>
      <c r="BI14" s="214"/>
      <c r="BJ14" s="214"/>
      <c r="BK14" s="214"/>
      <c r="BL14" s="192"/>
      <c r="BM14" s="192"/>
      <c r="BN14" s="192"/>
      <c r="BO14" s="192"/>
      <c r="BP14" s="15"/>
      <c r="BQ14" s="15"/>
    </row>
    <row r="15" spans="2:71" ht="19.5" customHeight="1" thickTop="1" x14ac:dyDescent="0.25">
      <c r="B15" s="15"/>
      <c r="C15" s="15"/>
      <c r="D15" s="289" t="str">
        <f ca="1">IFERROR(Sprache!$A$85&amp;":      KINVARO "&amp; 'Material+Limits'!B131 &amp;", " &amp;Sprache!$A$83 &amp; " " &amp;'Material+Limits'!J133 &amp;" mm, "&amp;  IF( 'Material+Limits'!F131&lt;&gt;"-", 'Material+Limits'!F131 &amp;", ","") &amp;Sprache!$A$84 &amp;" " &amp;'Material+Limits'!$L$133 &amp;", "&amp; Sprache!$A$202,"")</f>
        <v>Podnośnik:      KINVARO Podnośnik F-20 , Wysokość korpusu 520 - 559 mm, Ramię Typ 2, Ciężar frontu 4,6 kg  - 13,8 kg, dostępne opakowanie przemysłowe</v>
      </c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90"/>
      <c r="BE15" s="290"/>
      <c r="BF15" s="290"/>
      <c r="BG15" s="290"/>
      <c r="BH15" s="290"/>
      <c r="BI15" s="290"/>
      <c r="BJ15" s="290"/>
      <c r="BK15" s="290"/>
      <c r="BL15" s="290"/>
      <c r="BM15" s="290"/>
      <c r="BN15" s="290"/>
      <c r="BO15" s="291"/>
      <c r="BP15" s="15"/>
      <c r="BQ15" s="15"/>
    </row>
    <row r="16" spans="2:71" ht="20.25" customHeight="1" x14ac:dyDescent="0.25">
      <c r="B16" s="15"/>
      <c r="C16" s="15"/>
      <c r="D16" s="294" t="str">
        <f ca="1">IFERROR(Sprache!$A$98&amp; " :     "&amp;'Material+Limits'!$E$131,"")</f>
        <v>Numer do zamówienia :     F152145237201</v>
      </c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92"/>
      <c r="P16" s="292"/>
      <c r="Q16" s="292"/>
      <c r="R16" s="292"/>
      <c r="S16" s="292"/>
      <c r="T16" s="292"/>
      <c r="U16" s="292"/>
      <c r="V16" s="292"/>
      <c r="W16" s="292" t="str">
        <f ca="1">IFERROR('Material+Limits'!$N$133,"")</f>
        <v/>
      </c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  <c r="AL16" s="292"/>
      <c r="AM16" s="292"/>
      <c r="AN16" s="292"/>
      <c r="AO16" s="292"/>
      <c r="AP16" s="292"/>
      <c r="AQ16" s="292"/>
      <c r="AR16" s="292"/>
      <c r="AS16" s="292"/>
      <c r="AT16" s="292"/>
      <c r="AU16" s="292"/>
      <c r="AV16" s="292"/>
      <c r="AW16" s="29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92"/>
      <c r="BN16" s="292"/>
      <c r="BO16" s="293"/>
      <c r="BP16" s="15"/>
      <c r="BQ16" s="15"/>
    </row>
    <row r="17" spans="2:70" ht="20.25" customHeight="1" thickBot="1" x14ac:dyDescent="0.3">
      <c r="B17" s="15"/>
      <c r="C17" s="15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 t="str">
        <f ca="1">IFERROR(IF('Material+Limits'!P131=0,"",Sprache!$A$87&amp;" "&amp;'Material+Limits'!P131 &amp;" "&amp;Sprache!A89&amp;" "&amp;'Material+Limits'!Q131),"")</f>
        <v>Polecamy: TIOMOS 120° zawias oraz 1D° prowadnik</v>
      </c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3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4"/>
      <c r="BP17" s="15"/>
      <c r="BQ17" s="15"/>
    </row>
    <row r="18" spans="2:70" ht="11.25" customHeight="1" thickTop="1" x14ac:dyDescent="0.25">
      <c r="B18" s="15"/>
      <c r="C18" s="15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  <c r="AG18" s="288"/>
      <c r="AH18" s="288"/>
      <c r="AI18" s="288"/>
      <c r="AJ18" s="288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  <c r="AY18" s="288"/>
      <c r="AZ18" s="288"/>
      <c r="BA18" s="288"/>
      <c r="BB18" s="288"/>
      <c r="BC18" s="288"/>
      <c r="BD18" s="288"/>
      <c r="BE18" s="288"/>
      <c r="BF18" s="288"/>
      <c r="BG18" s="288"/>
      <c r="BH18" s="288"/>
      <c r="BI18" s="288"/>
      <c r="BJ18" s="288"/>
      <c r="BK18" s="288"/>
      <c r="BL18" s="288"/>
      <c r="BM18" s="288"/>
      <c r="BN18" s="288"/>
      <c r="BO18" s="288"/>
      <c r="BP18" s="15"/>
      <c r="BQ18" s="15"/>
    </row>
    <row r="19" spans="2:70" ht="13.5" customHeight="1" x14ac:dyDescent="0.25">
      <c r="B19" s="15"/>
      <c r="C19" s="15"/>
      <c r="BP19" s="15"/>
      <c r="BQ19" s="15"/>
    </row>
    <row r="20" spans="2:70" ht="16.5" customHeight="1" x14ac:dyDescent="0.25">
      <c r="B20" s="15"/>
      <c r="C20" s="15"/>
      <c r="L20" s="225"/>
      <c r="M20" s="225"/>
      <c r="N20" s="225"/>
      <c r="O20" s="225"/>
      <c r="P20" s="277" t="str">
        <f ca="1">HYPERLINK(Sprache!$A$16,Sprache!$A$15)</f>
        <v>Podnośnik do frontów łamanych</v>
      </c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25"/>
      <c r="AJ20" s="225"/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77" t="str">
        <f ca="1">HYPERLINK(Sprache!$A$35,Sprache!$A$27)</f>
        <v>Podnośnik do frontów uchylnych</v>
      </c>
      <c r="AW20" s="278"/>
      <c r="AX20" s="278"/>
      <c r="AY20" s="278"/>
      <c r="AZ20" s="278"/>
      <c r="BA20" s="278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25"/>
      <c r="BP20" s="15"/>
      <c r="BQ20" s="15"/>
    </row>
    <row r="21" spans="2:70" ht="66.75" customHeight="1" x14ac:dyDescent="0.25">
      <c r="B21" s="15"/>
      <c r="C21" s="15"/>
      <c r="L21" s="225"/>
      <c r="M21" s="280" t="str">
        <f ca="1">Sprache!$A$17</f>
        <v>F-20</v>
      </c>
      <c r="N21" s="280"/>
      <c r="O21" s="225"/>
      <c r="P21" s="279" t="str">
        <f ca="1">Sprache!$A$18</f>
        <v>• Zastosowanie: do górnych szafek z dzielonym frontem 
• Bardzo delikatny ruch podnoszenia i opuszczania frontu
• Możliwe użycie do frontów bezuchwytowych
• Zintegrowany, regulowalny  hamulec opuszczania frontu</v>
      </c>
      <c r="Q21" s="279"/>
      <c r="R21" s="279"/>
      <c r="S21" s="279"/>
      <c r="T21" s="279"/>
      <c r="U21" s="279"/>
      <c r="V21" s="279"/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26"/>
      <c r="AJ21" s="225"/>
      <c r="AK21" s="225"/>
      <c r="AL21" s="225"/>
      <c r="AM21" s="225"/>
      <c r="AN21" s="225"/>
      <c r="AO21" s="225"/>
      <c r="AP21" s="225"/>
      <c r="AQ21" s="225"/>
      <c r="AR21" s="225"/>
      <c r="AS21" s="280" t="str">
        <f ca="1">Sprache!$A$34</f>
        <v>T-71</v>
      </c>
      <c r="AT21" s="280"/>
      <c r="AU21" s="225"/>
      <c r="AV21" s="279" t="str">
        <f ca="1">Sprache!$A$36</f>
        <v>• Nie koliduje z listwami ozdobnymi na wieńcu
• Front można zatrzymać w dowolnym miejscu pomiędzy kątem otwarcia 45° a 110°                    
• Bezpośrednia regulacja frontu   • Mechanizm klipsowy                 • Zintegrowany, regulowalny hamulec opuszczania frontu
• Szeroki zakres zastosowań</v>
      </c>
      <c r="AW21" s="279"/>
      <c r="AX21" s="279"/>
      <c r="AY21" s="279"/>
      <c r="AZ21" s="279"/>
      <c r="BA21" s="279"/>
      <c r="BB21" s="279"/>
      <c r="BC21" s="279"/>
      <c r="BD21" s="279"/>
      <c r="BE21" s="279"/>
      <c r="BF21" s="279"/>
      <c r="BG21" s="279"/>
      <c r="BH21" s="279"/>
      <c r="BI21" s="279"/>
      <c r="BJ21" s="279"/>
      <c r="BK21" s="279"/>
      <c r="BL21" s="279"/>
      <c r="BM21" s="279"/>
      <c r="BN21" s="279"/>
      <c r="BO21" s="226"/>
      <c r="BP21" s="87"/>
      <c r="BQ21" s="87"/>
      <c r="BR21" s="89"/>
    </row>
    <row r="22" spans="2:70" ht="11.25" customHeight="1" x14ac:dyDescent="0.25">
      <c r="B22" s="15"/>
      <c r="C22" s="1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5"/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225"/>
      <c r="AZ22" s="225"/>
      <c r="BA22" s="225"/>
      <c r="BB22" s="225"/>
      <c r="BC22" s="225"/>
      <c r="BD22" s="225"/>
      <c r="BE22" s="225"/>
      <c r="BF22" s="225"/>
      <c r="BG22" s="225"/>
      <c r="BH22" s="225"/>
      <c r="BI22" s="225"/>
      <c r="BJ22" s="225"/>
      <c r="BK22" s="225"/>
      <c r="BL22" s="225"/>
      <c r="BM22" s="225"/>
      <c r="BN22" s="225"/>
      <c r="BO22" s="225"/>
      <c r="BP22" s="15"/>
      <c r="BQ22" s="15"/>
    </row>
    <row r="23" spans="2:70" ht="11.25" customHeight="1" x14ac:dyDescent="0.25">
      <c r="B23" s="15"/>
      <c r="C23" s="1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225"/>
      <c r="BJ23" s="225"/>
      <c r="BK23" s="225"/>
      <c r="BL23" s="225"/>
      <c r="BM23" s="225"/>
      <c r="BN23" s="225"/>
      <c r="BO23" s="225"/>
      <c r="BP23" s="15"/>
      <c r="BQ23" s="15"/>
    </row>
    <row r="24" spans="2:70" ht="16.5" customHeight="1" x14ac:dyDescent="0.25">
      <c r="B24" s="15"/>
      <c r="C24" s="15"/>
      <c r="L24" s="225"/>
      <c r="M24" s="225"/>
      <c r="N24" s="225"/>
      <c r="O24" s="225"/>
      <c r="P24" s="277" t="str">
        <f ca="1">HYPERLINK(Sprache!$A$20,Sprache!$A$19)</f>
        <v>Podnośnik do frontów równoległych</v>
      </c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25"/>
      <c r="AJ24" s="225"/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77" t="str">
        <f ca="1">HYPERLINK(Sprache!$A$38,Sprache!$A$27)</f>
        <v>Podnośnik do frontów uchylnych</v>
      </c>
      <c r="AW24" s="278"/>
      <c r="AX24" s="278"/>
      <c r="AY24" s="278"/>
      <c r="AZ24" s="278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25"/>
      <c r="BP24" s="15"/>
      <c r="BQ24" s="15"/>
    </row>
    <row r="25" spans="2:70" ht="66.75" customHeight="1" x14ac:dyDescent="0.25">
      <c r="B25" s="15"/>
      <c r="C25" s="15"/>
      <c r="L25" s="225"/>
      <c r="M25" s="280" t="str">
        <f ca="1">Sprache!$A$21</f>
        <v>L-80</v>
      </c>
      <c r="N25" s="280"/>
      <c r="O25" s="225"/>
      <c r="P25" s="279" t="str">
        <f ca="1">Sprache!$A$22</f>
        <v>• Otwiera front w pozycji równoległej do korpusu
• Możliwość zastosowania do zabudowania niszy, by zakryć sprzęt elektryczny  oraz przy stosowaniu listew ozdobnych i dodatkowego oświetlenia
• Niezwykle delikatny ruch podnośnika 
• Wysoka stabilność 
• Zintegrowany, regulowalny  hamulec opuszczania frontu</v>
      </c>
      <c r="Q25" s="279"/>
      <c r="R25" s="279"/>
      <c r="S25" s="279"/>
      <c r="T25" s="279"/>
      <c r="U25" s="279"/>
      <c r="V25" s="279"/>
      <c r="W25" s="279"/>
      <c r="X25" s="279"/>
      <c r="Y25" s="279"/>
      <c r="Z25" s="279"/>
      <c r="AA25" s="279"/>
      <c r="AB25" s="279"/>
      <c r="AC25" s="279"/>
      <c r="AD25" s="279"/>
      <c r="AE25" s="279"/>
      <c r="AF25" s="279"/>
      <c r="AG25" s="279"/>
      <c r="AH25" s="279"/>
      <c r="AI25" s="226"/>
      <c r="AJ25" s="225"/>
      <c r="AK25" s="225"/>
      <c r="AL25" s="225"/>
      <c r="AM25" s="225"/>
      <c r="AN25" s="225"/>
      <c r="AO25" s="225"/>
      <c r="AP25" s="225"/>
      <c r="AQ25" s="225"/>
      <c r="AR25" s="225"/>
      <c r="AS25" s="280" t="str">
        <f ca="1">Sprache!$A$37</f>
        <v>T-75</v>
      </c>
      <c r="AT25" s="280"/>
      <c r="AU25" s="225"/>
      <c r="AV25" s="279" t="str">
        <f ca="1">Sprache!$A$39</f>
        <v xml:space="preserve">• Nie koliduje z listwami ozdobnymi na wieńcu
• Front można zatrzymać w dowolnym miejscu pomiędzy kątem otwarcia 45° a 100°                    
• Do zastosowania do ciężkich frontów                    • Zintegrowany, regulowalny hamulec opuszczania frontu
</v>
      </c>
      <c r="AW25" s="279"/>
      <c r="AX25" s="279"/>
      <c r="AY25" s="279"/>
      <c r="AZ25" s="279"/>
      <c r="BA25" s="279"/>
      <c r="BB25" s="279"/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26"/>
      <c r="BP25" s="87"/>
      <c r="BQ25" s="87"/>
      <c r="BR25" s="89"/>
    </row>
    <row r="26" spans="2:70" ht="11.25" customHeight="1" x14ac:dyDescent="0.25">
      <c r="B26" s="15"/>
      <c r="C26" s="1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225"/>
      <c r="AZ26" s="225"/>
      <c r="BA26" s="225"/>
      <c r="BB26" s="225"/>
      <c r="BC26" s="225"/>
      <c r="BD26" s="225"/>
      <c r="BE26" s="225"/>
      <c r="BF26" s="225"/>
      <c r="BG26" s="225"/>
      <c r="BH26" s="225"/>
      <c r="BI26" s="225"/>
      <c r="BJ26" s="225"/>
      <c r="BK26" s="225"/>
      <c r="BL26" s="225"/>
      <c r="BM26" s="225"/>
      <c r="BN26" s="225"/>
      <c r="BO26" s="225"/>
      <c r="BP26" s="15"/>
      <c r="BQ26" s="15"/>
    </row>
    <row r="27" spans="2:70" ht="11.25" customHeight="1" x14ac:dyDescent="0.25">
      <c r="B27" s="15"/>
      <c r="C27" s="1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5"/>
      <c r="AI27" s="225"/>
      <c r="AJ27" s="225"/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225"/>
      <c r="AZ27" s="225"/>
      <c r="BA27" s="225"/>
      <c r="BB27" s="225"/>
      <c r="BC27" s="225"/>
      <c r="BD27" s="225"/>
      <c r="BE27" s="225"/>
      <c r="BF27" s="225"/>
      <c r="BG27" s="225"/>
      <c r="BH27" s="225"/>
      <c r="BI27" s="225"/>
      <c r="BJ27" s="225"/>
      <c r="BK27" s="225"/>
      <c r="BL27" s="225"/>
      <c r="BM27" s="225"/>
      <c r="BN27" s="225"/>
      <c r="BO27" s="225"/>
      <c r="BP27" s="15"/>
      <c r="BQ27" s="15"/>
    </row>
    <row r="28" spans="2:70" ht="16.5" customHeight="1" x14ac:dyDescent="0.25">
      <c r="B28" s="15"/>
      <c r="C28" s="15"/>
      <c r="L28" s="225"/>
      <c r="M28" s="225"/>
      <c r="N28" s="225"/>
      <c r="O28" s="225"/>
      <c r="P28" s="277" t="str">
        <f ca="1">HYPERLINK(Sprache!$A$24,Sprache!$A$23)</f>
        <v>Podnośnik do frontów zachodzących</v>
      </c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25"/>
      <c r="AJ28" s="225"/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77" t="str">
        <f ca="1">HYPERLINK(Sprache!$A$41,Sprache!$A$27)</f>
        <v>Podnośnik do frontów uchylnych</v>
      </c>
      <c r="AW28" s="278"/>
      <c r="AX28" s="278"/>
      <c r="AY28" s="278"/>
      <c r="AZ28" s="278"/>
      <c r="BA28" s="278"/>
      <c r="BB28" s="278"/>
      <c r="BC28" s="278"/>
      <c r="BD28" s="278"/>
      <c r="BE28" s="278"/>
      <c r="BF28" s="278"/>
      <c r="BG28" s="278"/>
      <c r="BH28" s="278"/>
      <c r="BI28" s="278"/>
      <c r="BJ28" s="278"/>
      <c r="BK28" s="278"/>
      <c r="BL28" s="278"/>
      <c r="BM28" s="278"/>
      <c r="BN28" s="278"/>
      <c r="BO28" s="225"/>
      <c r="BP28" s="15"/>
      <c r="BQ28" s="15"/>
    </row>
    <row r="29" spans="2:70" ht="66.75" customHeight="1" x14ac:dyDescent="0.25">
      <c r="B29" s="15"/>
      <c r="C29" s="15"/>
      <c r="L29" s="225"/>
      <c r="M29" s="280" t="str">
        <f ca="1">Sprache!$A$25</f>
        <v>S-35</v>
      </c>
      <c r="N29" s="280"/>
      <c r="O29" s="225"/>
      <c r="P29" s="279" t="str">
        <f ca="1">Sprache!A26</f>
        <v>• Front zachodzi ponad  korpus
• Możliwość stosowania w szafkach z listwami ozdobnymi oraz dodatkowym oświetleniem
• Niezwykle delikatny ruch podnośnika 
• Wysoka stabilność
• Zintegrowany, regulowalny  hamulec opuszczania frontu</v>
      </c>
      <c r="Q29" s="279"/>
      <c r="R29" s="279"/>
      <c r="S29" s="279"/>
      <c r="T29" s="279"/>
      <c r="U29" s="279"/>
      <c r="V29" s="279"/>
      <c r="W29" s="279"/>
      <c r="X29" s="279"/>
      <c r="Y29" s="279"/>
      <c r="Z29" s="279"/>
      <c r="AA29" s="279"/>
      <c r="AB29" s="279"/>
      <c r="AC29" s="279"/>
      <c r="AD29" s="279"/>
      <c r="AE29" s="279"/>
      <c r="AF29" s="279"/>
      <c r="AG29" s="279"/>
      <c r="AH29" s="279"/>
      <c r="AI29" s="226"/>
      <c r="AJ29" s="225"/>
      <c r="AK29" s="225"/>
      <c r="AL29" s="225"/>
      <c r="AM29" s="225"/>
      <c r="AN29" s="225"/>
      <c r="AO29" s="225"/>
      <c r="AP29" s="225"/>
      <c r="AQ29" s="225"/>
      <c r="AR29" s="225"/>
      <c r="AS29" s="280" t="str">
        <f ca="1">Sprache!$A$40</f>
        <v>T-76</v>
      </c>
      <c r="AT29" s="280"/>
      <c r="AU29" s="225"/>
      <c r="AV29" s="279" t="str">
        <f ca="1">Sprache!$A$42</f>
        <v xml:space="preserve">• Nie koliduje z listwami ozdobnymi na wieńcu
• Front można zatrzymać w dowolnym miejscu pomiędzy kątem otwarcia 45° a 110°                    
• Bezpośrednia regulacja frontu   • Mechanizm klipsowy                 • Zintegrowany, regulowalny hamulec opuszczania frontu
• Do zastosowania do ciężkich frontów  </v>
      </c>
      <c r="AW29" s="279"/>
      <c r="AX29" s="279"/>
      <c r="AY29" s="279"/>
      <c r="AZ29" s="279"/>
      <c r="BA29" s="279"/>
      <c r="BB29" s="279"/>
      <c r="BC29" s="279"/>
      <c r="BD29" s="279"/>
      <c r="BE29" s="279"/>
      <c r="BF29" s="279"/>
      <c r="BG29" s="279"/>
      <c r="BH29" s="279"/>
      <c r="BI29" s="279"/>
      <c r="BJ29" s="279"/>
      <c r="BK29" s="279"/>
      <c r="BL29" s="279"/>
      <c r="BM29" s="279"/>
      <c r="BN29" s="279"/>
      <c r="BO29" s="226"/>
      <c r="BP29" s="87"/>
      <c r="BQ29" s="87"/>
      <c r="BR29" s="89"/>
    </row>
    <row r="30" spans="2:70" ht="12.75" customHeight="1" x14ac:dyDescent="0.25">
      <c r="B30" s="15"/>
      <c r="C30" s="1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225"/>
      <c r="AJ30" s="225"/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225"/>
      <c r="AZ30" s="225"/>
      <c r="BA30" s="225"/>
      <c r="BB30" s="225"/>
      <c r="BC30" s="225"/>
      <c r="BD30" s="225"/>
      <c r="BE30" s="225"/>
      <c r="BF30" s="225"/>
      <c r="BG30" s="225"/>
      <c r="BH30" s="225"/>
      <c r="BI30" s="225"/>
      <c r="BJ30" s="225"/>
      <c r="BK30" s="225"/>
      <c r="BL30" s="225"/>
      <c r="BM30" s="225"/>
      <c r="BN30" s="225"/>
      <c r="BO30" s="225"/>
      <c r="BP30" s="15"/>
      <c r="BQ30" s="15"/>
    </row>
    <row r="31" spans="2:70" ht="11.25" customHeight="1" x14ac:dyDescent="0.25">
      <c r="B31" s="15"/>
      <c r="C31" s="1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  <c r="AH31" s="225"/>
      <c r="AI31" s="225"/>
      <c r="AJ31" s="225"/>
      <c r="AK31" s="225"/>
      <c r="AL31" s="225"/>
      <c r="AM31" s="225"/>
      <c r="AN31" s="225"/>
      <c r="AO31" s="225"/>
      <c r="AP31" s="225"/>
      <c r="AQ31" s="225"/>
      <c r="AR31" s="225"/>
      <c r="AS31" s="225"/>
      <c r="AT31" s="225"/>
      <c r="AU31" s="225"/>
      <c r="AV31" s="225"/>
      <c r="AW31" s="225"/>
      <c r="AX31" s="225"/>
      <c r="AY31" s="225"/>
      <c r="AZ31" s="225"/>
      <c r="BA31" s="225"/>
      <c r="BB31" s="225"/>
      <c r="BC31" s="225"/>
      <c r="BD31" s="225"/>
      <c r="BE31" s="225"/>
      <c r="BF31" s="225"/>
      <c r="BG31" s="225"/>
      <c r="BH31" s="225"/>
      <c r="BI31" s="225"/>
      <c r="BJ31" s="225"/>
      <c r="BK31" s="225"/>
      <c r="BL31" s="225"/>
      <c r="BM31" s="225"/>
      <c r="BN31" s="225"/>
      <c r="BO31" s="225"/>
      <c r="BP31" s="15"/>
      <c r="BQ31" s="15"/>
    </row>
    <row r="32" spans="2:70" ht="16.5" customHeight="1" x14ac:dyDescent="0.25">
      <c r="B32" s="15"/>
      <c r="C32" s="15"/>
      <c r="L32" s="225"/>
      <c r="M32" s="225"/>
      <c r="N32" s="225"/>
      <c r="O32" s="225"/>
      <c r="P32" s="277" t="str">
        <f ca="1">HYPERLINK(Sprache!$A$28,Sprache!$A$27)</f>
        <v>Podnośnik do frontów uchylnych</v>
      </c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25"/>
      <c r="AJ32" s="225"/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77" t="str">
        <f ca="1">HYPERLINK(Sprache!$A$44,Sprache!$A$27)</f>
        <v>Podnośnik do frontów uchylnych</v>
      </c>
      <c r="AW32" s="278"/>
      <c r="AX32" s="278"/>
      <c r="AY32" s="278"/>
      <c r="AZ32" s="278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278"/>
      <c r="BL32" s="278"/>
      <c r="BM32" s="278"/>
      <c r="BN32" s="278"/>
      <c r="BO32" s="225"/>
      <c r="BP32" s="15"/>
      <c r="BQ32" s="15"/>
    </row>
    <row r="33" spans="2:70" ht="66.75" customHeight="1" x14ac:dyDescent="0.25">
      <c r="B33" s="15"/>
      <c r="C33" s="15"/>
      <c r="L33" s="225"/>
      <c r="M33" s="280" t="str">
        <f ca="1">Sprache!$A$29</f>
        <v>T-65</v>
      </c>
      <c r="N33" s="280"/>
      <c r="O33" s="225"/>
      <c r="P33" s="279" t="str">
        <f ca="1">Sprache!$A$30</f>
        <v>• Nie koliduje z listwami ozdobnymi na wieńcu                      • Front można zatrzymać w dowolnym miejscu pomiędzy kątem otwarcia 45° a 100°                • Idealny do lekkich i średnio ciężkich frontów  • Zintegrowany, regulowalny hamulec opuszczania frontu</v>
      </c>
      <c r="Q33" s="279"/>
      <c r="R33" s="279"/>
      <c r="S33" s="279"/>
      <c r="T33" s="279"/>
      <c r="U33" s="279"/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26"/>
      <c r="AJ33" s="225"/>
      <c r="AK33" s="225"/>
      <c r="AL33" s="225"/>
      <c r="AM33" s="225"/>
      <c r="AN33" s="225"/>
      <c r="AO33" s="225"/>
      <c r="AP33" s="225"/>
      <c r="AQ33" s="225"/>
      <c r="AR33" s="225"/>
      <c r="AS33" s="280" t="str">
        <f ca="1">Sprache!$A$43</f>
        <v>T-57</v>
      </c>
      <c r="AT33" s="280"/>
      <c r="AU33" s="225"/>
      <c r="AV33" s="279" t="str">
        <f ca="1">Sprache!$A$45</f>
        <v>• Nie koliduje z listwami ozdobnymi na wieńcu
• Nastawialny kąt otwarcia 75° lub 90° 
• Do frontów średniej ciężkości</v>
      </c>
      <c r="AW33" s="279"/>
      <c r="AX33" s="279"/>
      <c r="AY33" s="279"/>
      <c r="AZ33" s="279"/>
      <c r="BA33" s="279"/>
      <c r="BB33" s="279"/>
      <c r="BC33" s="279"/>
      <c r="BD33" s="279"/>
      <c r="BE33" s="279"/>
      <c r="BF33" s="279"/>
      <c r="BG33" s="279"/>
      <c r="BH33" s="279"/>
      <c r="BI33" s="279"/>
      <c r="BJ33" s="279"/>
      <c r="BK33" s="279"/>
      <c r="BL33" s="279"/>
      <c r="BM33" s="279"/>
      <c r="BN33" s="279"/>
      <c r="BO33" s="226"/>
      <c r="BP33" s="87"/>
      <c r="BQ33" s="87"/>
      <c r="BR33" s="89"/>
    </row>
    <row r="34" spans="2:70" ht="12.75" customHeight="1" x14ac:dyDescent="0.25">
      <c r="B34" s="15"/>
      <c r="C34" s="1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225"/>
      <c r="AZ34" s="225"/>
      <c r="BA34" s="225"/>
      <c r="BB34" s="225"/>
      <c r="BC34" s="225"/>
      <c r="BD34" s="225"/>
      <c r="BE34" s="225"/>
      <c r="BF34" s="225"/>
      <c r="BG34" s="225"/>
      <c r="BH34" s="225"/>
      <c r="BI34" s="225"/>
      <c r="BJ34" s="225"/>
      <c r="BK34" s="225"/>
      <c r="BL34" s="225"/>
      <c r="BM34" s="225"/>
      <c r="BN34" s="225"/>
      <c r="BO34" s="225"/>
      <c r="BP34" s="15"/>
      <c r="BQ34" s="15"/>
    </row>
    <row r="35" spans="2:70" ht="11.25" customHeight="1" x14ac:dyDescent="0.25">
      <c r="B35" s="15"/>
      <c r="C35" s="1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225"/>
      <c r="AZ35" s="225"/>
      <c r="BA35" s="225"/>
      <c r="BB35" s="225"/>
      <c r="BC35" s="225"/>
      <c r="BD35" s="225"/>
      <c r="BE35" s="225"/>
      <c r="BF35" s="225"/>
      <c r="BG35" s="225"/>
      <c r="BH35" s="225"/>
      <c r="BI35" s="225"/>
      <c r="BJ35" s="225"/>
      <c r="BK35" s="225"/>
      <c r="BL35" s="225"/>
      <c r="BM35" s="225"/>
      <c r="BN35" s="225"/>
      <c r="BO35" s="225"/>
      <c r="BP35" s="15"/>
      <c r="BQ35" s="15"/>
    </row>
    <row r="36" spans="2:70" ht="16.5" customHeight="1" x14ac:dyDescent="0.25">
      <c r="B36" s="15"/>
      <c r="C36" s="15"/>
      <c r="L36" s="225"/>
      <c r="M36" s="225"/>
      <c r="N36" s="225"/>
      <c r="O36" s="225"/>
      <c r="P36" s="277" t="str">
        <f ca="1">HYPERLINK(Sprache!$A$32,Sprache!$A$27)</f>
        <v>Podnośnik do frontów uchylnych</v>
      </c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25"/>
      <c r="AJ36" s="225"/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77" t="str">
        <f ca="1">HYPERLINK(Sprache!$A$47,Sprache!$A$48)</f>
        <v>Podnośnik nożycowy</v>
      </c>
      <c r="AW36" s="278"/>
      <c r="AX36" s="278"/>
      <c r="AY36" s="278"/>
      <c r="AZ36" s="278"/>
      <c r="BA36" s="278"/>
      <c r="BB36" s="278"/>
      <c r="BC36" s="278"/>
      <c r="BD36" s="278"/>
      <c r="BE36" s="278"/>
      <c r="BF36" s="278"/>
      <c r="BG36" s="278"/>
      <c r="BH36" s="278"/>
      <c r="BI36" s="278"/>
      <c r="BJ36" s="278"/>
      <c r="BK36" s="278"/>
      <c r="BL36" s="278"/>
      <c r="BM36" s="278"/>
      <c r="BN36" s="278"/>
      <c r="BO36" s="225"/>
      <c r="BP36" s="15"/>
      <c r="BQ36" s="15"/>
    </row>
    <row r="37" spans="2:70" ht="66.75" customHeight="1" x14ac:dyDescent="0.25">
      <c r="B37" s="15"/>
      <c r="C37" s="15"/>
      <c r="L37" s="225"/>
      <c r="M37" s="280" t="str">
        <f ca="1">Sprache!$A$31</f>
        <v>T-70</v>
      </c>
      <c r="N37" s="280"/>
      <c r="O37" s="225"/>
      <c r="P37" s="279" t="str">
        <f ca="1">Sprache!$A$33</f>
        <v>• Nie koliduje z listwami ozdobnymi na wieńcu
• Front można zatrzymać w dowolnym miejscu pomiędzy kątem otwarcia 45° a 110°
• Zintegrowany, regulowalny hamulec opuszczania frontu
• Szeroki zakres zastosowań</v>
      </c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  <c r="AD37" s="279"/>
      <c r="AE37" s="279"/>
      <c r="AF37" s="279"/>
      <c r="AG37" s="279"/>
      <c r="AH37" s="279"/>
      <c r="AI37" s="226"/>
      <c r="AJ37" s="225"/>
      <c r="AK37" s="225"/>
      <c r="AL37" s="225"/>
      <c r="AM37" s="225"/>
      <c r="AN37" s="225"/>
      <c r="AO37" s="225"/>
      <c r="AP37" s="225"/>
      <c r="AQ37" s="225"/>
      <c r="AR37" s="225"/>
      <c r="AS37" s="280" t="str">
        <f ca="1">Sprache!$A$46</f>
        <v>T-105</v>
      </c>
      <c r="AT37" s="280"/>
      <c r="AU37" s="225"/>
      <c r="AV37" s="279" t="str">
        <f ca="1">Sprache!$A$49</f>
        <v>• Nie koliduje z listwami ozdobnymi na wieńcu
• Front można zatrzymać w dowolnym miejscu pomiędzy kątem otwarcia 45° a 105°            
• Szeroki zakres zastosowań
• Otwarcie frontu wspomagane mechanizmem sprężynowym</v>
      </c>
      <c r="AW37" s="279"/>
      <c r="AX37" s="279"/>
      <c r="AY37" s="279"/>
      <c r="AZ37" s="279"/>
      <c r="BA37" s="279"/>
      <c r="BB37" s="279"/>
      <c r="BC37" s="279"/>
      <c r="BD37" s="279"/>
      <c r="BE37" s="279"/>
      <c r="BF37" s="279"/>
      <c r="BG37" s="279"/>
      <c r="BH37" s="279"/>
      <c r="BI37" s="279"/>
      <c r="BJ37" s="279"/>
      <c r="BK37" s="279"/>
      <c r="BL37" s="279"/>
      <c r="BM37" s="279"/>
      <c r="BN37" s="279"/>
      <c r="BO37" s="226"/>
      <c r="BP37" s="87"/>
      <c r="BQ37" s="87"/>
      <c r="BR37" s="89"/>
    </row>
    <row r="38" spans="2:70" ht="12.75" customHeight="1" x14ac:dyDescent="0.25">
      <c r="B38" s="15"/>
      <c r="C38" s="1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5"/>
      <c r="BI38" s="225"/>
      <c r="BJ38" s="225"/>
      <c r="BK38" s="225"/>
      <c r="BL38" s="225"/>
      <c r="BM38" s="225"/>
      <c r="BN38" s="225"/>
      <c r="BO38" s="225"/>
      <c r="BP38" s="15"/>
      <c r="BQ38" s="15"/>
    </row>
    <row r="39" spans="2:70" ht="12.75" customHeight="1" x14ac:dyDescent="0.2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  <c r="AZ39" s="192"/>
      <c r="BA39" s="192"/>
      <c r="BB39" s="192"/>
      <c r="BC39" s="192"/>
      <c r="BD39" s="192"/>
      <c r="BE39" s="192"/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5"/>
      <c r="BQ39" s="15"/>
    </row>
    <row r="40" spans="2:70" s="88" customFormat="1" ht="12.75" customHeight="1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06"/>
      <c r="BN40" s="15"/>
      <c r="BO40" s="15"/>
      <c r="BP40" s="15"/>
      <c r="BQ40" s="15"/>
    </row>
    <row r="41" spans="2:70" s="88" customFormat="1" ht="12.75" customHeight="1" x14ac:dyDescent="0.25"/>
    <row r="42" spans="2:70" s="88" customFormat="1" ht="12.75" customHeight="1" x14ac:dyDescent="0.25"/>
    <row r="43" spans="2:70" s="88" customFormat="1" ht="12.75" customHeight="1" x14ac:dyDescent="0.25"/>
    <row r="44" spans="2:70" s="88" customFormat="1" ht="12.75" customHeight="1" x14ac:dyDescent="0.25"/>
    <row r="45" spans="2:70" s="88" customFormat="1" ht="12.75" customHeight="1" x14ac:dyDescent="0.25"/>
    <row r="46" spans="2:70" s="88" customFormat="1" ht="12.75" customHeight="1" x14ac:dyDescent="0.25"/>
    <row r="47" spans="2:70" s="88" customFormat="1" ht="12.75" customHeight="1" x14ac:dyDescent="0.25"/>
    <row r="48" spans="2:70" s="88" customFormat="1" ht="12.75" customHeight="1" x14ac:dyDescent="0.25"/>
    <row r="49" s="88" customFormat="1" ht="12.75" customHeight="1" x14ac:dyDescent="0.25"/>
    <row r="50" s="88" customFormat="1" ht="12.75" customHeight="1" x14ac:dyDescent="0.25"/>
    <row r="51" s="88" customFormat="1" ht="12.75" customHeight="1" x14ac:dyDescent="0.25"/>
    <row r="52" s="88" customFormat="1" ht="12.75" customHeight="1" x14ac:dyDescent="0.25"/>
    <row r="53" s="88" customFormat="1" ht="12.75" customHeight="1" x14ac:dyDescent="0.25"/>
    <row r="54" s="88" customFormat="1" ht="12.75" customHeight="1" x14ac:dyDescent="0.25"/>
    <row r="55" s="88" customFormat="1" ht="12.75" customHeight="1" x14ac:dyDescent="0.25"/>
    <row r="56" s="88" customFormat="1" ht="12.75" customHeight="1" x14ac:dyDescent="0.25"/>
    <row r="57" s="88" customFormat="1" ht="29.25" customHeight="1" x14ac:dyDescent="0.25"/>
    <row r="58" s="88" customFormat="1" ht="29.25" customHeight="1" x14ac:dyDescent="0.25"/>
    <row r="59" s="88" customFormat="1" ht="29.25" customHeight="1" x14ac:dyDescent="0.25"/>
    <row r="60" s="88" customFormat="1" ht="29.25" customHeight="1" x14ac:dyDescent="0.25"/>
    <row r="61" s="88" customFormat="1" x14ac:dyDescent="0.25"/>
    <row r="62" s="88" customFormat="1" x14ac:dyDescent="0.25"/>
    <row r="63" s="88" customFormat="1" x14ac:dyDescent="0.25"/>
    <row r="64" s="88" customFormat="1" x14ac:dyDescent="0.25"/>
    <row r="65" s="88" customFormat="1" x14ac:dyDescent="0.25"/>
    <row r="66" s="88" customFormat="1" x14ac:dyDescent="0.25"/>
    <row r="67" s="88" customFormat="1" x14ac:dyDescent="0.25"/>
    <row r="68" s="88" customFormat="1" x14ac:dyDescent="0.25"/>
    <row r="69" s="88" customFormat="1" x14ac:dyDescent="0.25"/>
    <row r="70" s="88" customFormat="1" x14ac:dyDescent="0.25"/>
    <row r="71" s="88" customFormat="1" x14ac:dyDescent="0.25"/>
    <row r="72" s="88" customFormat="1" x14ac:dyDescent="0.25"/>
    <row r="73" s="88" customFormat="1" x14ac:dyDescent="0.25"/>
    <row r="74" s="88" customFormat="1" x14ac:dyDescent="0.25"/>
    <row r="75" s="88" customFormat="1" x14ac:dyDescent="0.25"/>
    <row r="76" s="88" customFormat="1" x14ac:dyDescent="0.25"/>
    <row r="77" s="88" customFormat="1" x14ac:dyDescent="0.25"/>
    <row r="78" s="88" customFormat="1" x14ac:dyDescent="0.25"/>
    <row r="79" s="88" customFormat="1" x14ac:dyDescent="0.25"/>
    <row r="80" s="88" customFormat="1" x14ac:dyDescent="0.25"/>
    <row r="81" s="88" customFormat="1" x14ac:dyDescent="0.25"/>
    <row r="82" s="88" customFormat="1" x14ac:dyDescent="0.25"/>
    <row r="83" s="88" customFormat="1" x14ac:dyDescent="0.25"/>
    <row r="84" s="88" customFormat="1" x14ac:dyDescent="0.25"/>
    <row r="85" s="88" customFormat="1" x14ac:dyDescent="0.25"/>
    <row r="86" s="88" customFormat="1" x14ac:dyDescent="0.25"/>
    <row r="87" s="88" customFormat="1" x14ac:dyDescent="0.25"/>
    <row r="88" s="88" customFormat="1" x14ac:dyDescent="0.25"/>
    <row r="89" s="88" customFormat="1" x14ac:dyDescent="0.25"/>
    <row r="90" s="88" customFormat="1" x14ac:dyDescent="0.25"/>
    <row r="91" s="88" customFormat="1" x14ac:dyDescent="0.25"/>
    <row r="92" s="88" customFormat="1" x14ac:dyDescent="0.25"/>
    <row r="93" s="88" customFormat="1" x14ac:dyDescent="0.25"/>
    <row r="94" s="88" customFormat="1" x14ac:dyDescent="0.25"/>
    <row r="95" s="88" customFormat="1" x14ac:dyDescent="0.25"/>
    <row r="96" s="88" customFormat="1" x14ac:dyDescent="0.25"/>
    <row r="97" s="88" customFormat="1" x14ac:dyDescent="0.25"/>
    <row r="98" s="88" customFormat="1" x14ac:dyDescent="0.25"/>
    <row r="99" s="88" customFormat="1" x14ac:dyDescent="0.25"/>
    <row r="100" s="88" customFormat="1" x14ac:dyDescent="0.25"/>
    <row r="101" s="88" customFormat="1" x14ac:dyDescent="0.25"/>
    <row r="102" s="88" customFormat="1" x14ac:dyDescent="0.25"/>
    <row r="103" s="88" customFormat="1" x14ac:dyDescent="0.25"/>
    <row r="104" s="88" customFormat="1" x14ac:dyDescent="0.25"/>
    <row r="105" s="88" customFormat="1" x14ac:dyDescent="0.25"/>
    <row r="106" s="88" customFormat="1" x14ac:dyDescent="0.25"/>
    <row r="107" s="88" customFormat="1" x14ac:dyDescent="0.25"/>
    <row r="108" s="88" customFormat="1" x14ac:dyDescent="0.25"/>
    <row r="109" s="88" customFormat="1" x14ac:dyDescent="0.25"/>
    <row r="110" s="88" customFormat="1" x14ac:dyDescent="0.25"/>
    <row r="111" s="88" customFormat="1" x14ac:dyDescent="0.25"/>
    <row r="112" s="88" customFormat="1" x14ac:dyDescent="0.25"/>
    <row r="113" s="88" customFormat="1" x14ac:dyDescent="0.25"/>
    <row r="114" s="88" customFormat="1" x14ac:dyDescent="0.25"/>
    <row r="115" s="88" customFormat="1" x14ac:dyDescent="0.25"/>
    <row r="116" s="88" customFormat="1" x14ac:dyDescent="0.25"/>
    <row r="117" s="88" customFormat="1" x14ac:dyDescent="0.25"/>
    <row r="118" s="88" customFormat="1" x14ac:dyDescent="0.25"/>
    <row r="119" s="88" customFormat="1" x14ac:dyDescent="0.25"/>
    <row r="120" s="88" customFormat="1" x14ac:dyDescent="0.25"/>
    <row r="121" s="88" customFormat="1" x14ac:dyDescent="0.25"/>
    <row r="122" s="88" customFormat="1" x14ac:dyDescent="0.25"/>
    <row r="123" s="88" customFormat="1" x14ac:dyDescent="0.25"/>
    <row r="124" s="88" customFormat="1" x14ac:dyDescent="0.25"/>
    <row r="125" s="88" customFormat="1" x14ac:dyDescent="0.25"/>
    <row r="126" s="88" customFormat="1" x14ac:dyDescent="0.25"/>
    <row r="127" s="88" customFormat="1" x14ac:dyDescent="0.25"/>
    <row r="128" s="88" customFormat="1" x14ac:dyDescent="0.25"/>
    <row r="129" s="88" customFormat="1" x14ac:dyDescent="0.25"/>
    <row r="130" s="88" customFormat="1" x14ac:dyDescent="0.25"/>
    <row r="131" s="88" customFormat="1" x14ac:dyDescent="0.25"/>
    <row r="132" s="88" customFormat="1" x14ac:dyDescent="0.25"/>
    <row r="133" s="88" customFormat="1" x14ac:dyDescent="0.25"/>
    <row r="134" s="88" customFormat="1" x14ac:dyDescent="0.25"/>
    <row r="135" s="88" customFormat="1" x14ac:dyDescent="0.25"/>
    <row r="136" s="88" customFormat="1" x14ac:dyDescent="0.25"/>
    <row r="137" s="88" customFormat="1" x14ac:dyDescent="0.25"/>
    <row r="138" s="88" customFormat="1" x14ac:dyDescent="0.25"/>
    <row r="139" s="88" customFormat="1" x14ac:dyDescent="0.25"/>
    <row r="140" s="88" customFormat="1" x14ac:dyDescent="0.25"/>
    <row r="141" s="88" customFormat="1" x14ac:dyDescent="0.25"/>
    <row r="142" s="88" customFormat="1" x14ac:dyDescent="0.25"/>
    <row r="143" s="88" customFormat="1" x14ac:dyDescent="0.25"/>
    <row r="144" s="88" customFormat="1" x14ac:dyDescent="0.25"/>
    <row r="145" s="88" customFormat="1" x14ac:dyDescent="0.25"/>
    <row r="146" s="88" customFormat="1" x14ac:dyDescent="0.25"/>
    <row r="147" s="88" customFormat="1" x14ac:dyDescent="0.25"/>
    <row r="148" s="88" customFormat="1" x14ac:dyDescent="0.25"/>
    <row r="149" s="88" customFormat="1" x14ac:dyDescent="0.25"/>
    <row r="150" s="88" customFormat="1" x14ac:dyDescent="0.25"/>
    <row r="151" s="88" customFormat="1" x14ac:dyDescent="0.25"/>
    <row r="152" s="88" customFormat="1" x14ac:dyDescent="0.25"/>
    <row r="153" s="88" customFormat="1" x14ac:dyDescent="0.25"/>
    <row r="154" s="88" customFormat="1" x14ac:dyDescent="0.25"/>
    <row r="155" s="88" customFormat="1" x14ac:dyDescent="0.25"/>
    <row r="156" s="88" customFormat="1" x14ac:dyDescent="0.25"/>
    <row r="157" s="88" customFormat="1" x14ac:dyDescent="0.25"/>
    <row r="158" s="88" customFormat="1" x14ac:dyDescent="0.25"/>
    <row r="159" s="88" customFormat="1" x14ac:dyDescent="0.25"/>
    <row r="160" s="88" customFormat="1" x14ac:dyDescent="0.25"/>
    <row r="161" s="88" customFormat="1" x14ac:dyDescent="0.25"/>
    <row r="162" s="88" customFormat="1" x14ac:dyDescent="0.25"/>
    <row r="163" s="88" customFormat="1" x14ac:dyDescent="0.25"/>
    <row r="164" s="88" customFormat="1" x14ac:dyDescent="0.25"/>
    <row r="165" s="88" customFormat="1" x14ac:dyDescent="0.25"/>
    <row r="166" s="88" customFormat="1" x14ac:dyDescent="0.25"/>
    <row r="167" s="88" customFormat="1" x14ac:dyDescent="0.25"/>
    <row r="168" s="88" customFormat="1" x14ac:dyDescent="0.25"/>
    <row r="169" s="88" customFormat="1" x14ac:dyDescent="0.25"/>
    <row r="170" s="88" customFormat="1" x14ac:dyDescent="0.25"/>
    <row r="171" s="88" customFormat="1" x14ac:dyDescent="0.25"/>
    <row r="172" s="88" customFormat="1" x14ac:dyDescent="0.25"/>
    <row r="173" s="88" customFormat="1" x14ac:dyDescent="0.25"/>
    <row r="174" s="88" customFormat="1" x14ac:dyDescent="0.25"/>
    <row r="175" s="88" customFormat="1" x14ac:dyDescent="0.25"/>
    <row r="176" s="88" customFormat="1" x14ac:dyDescent="0.25"/>
    <row r="177" s="88" customFormat="1" x14ac:dyDescent="0.25"/>
    <row r="178" s="88" customFormat="1" x14ac:dyDescent="0.25"/>
    <row r="179" s="88" customFormat="1" x14ac:dyDescent="0.25"/>
    <row r="180" s="88" customFormat="1" x14ac:dyDescent="0.25"/>
    <row r="181" s="88" customFormat="1" x14ac:dyDescent="0.25"/>
    <row r="182" s="88" customFormat="1" x14ac:dyDescent="0.25"/>
    <row r="183" s="88" customFormat="1" x14ac:dyDescent="0.25"/>
    <row r="184" s="88" customFormat="1" x14ac:dyDescent="0.25"/>
    <row r="185" s="88" customFormat="1" x14ac:dyDescent="0.25"/>
    <row r="186" s="88" customFormat="1" x14ac:dyDescent="0.25"/>
    <row r="187" s="88" customFormat="1" x14ac:dyDescent="0.25"/>
    <row r="188" s="88" customFormat="1" x14ac:dyDescent="0.25"/>
    <row r="189" s="88" customFormat="1" x14ac:dyDescent="0.25"/>
    <row r="190" s="88" customFormat="1" x14ac:dyDescent="0.25"/>
    <row r="191" s="88" customFormat="1" x14ac:dyDescent="0.25"/>
    <row r="192" s="88" customFormat="1" x14ac:dyDescent="0.25"/>
    <row r="193" s="88" customFormat="1" x14ac:dyDescent="0.25"/>
    <row r="194" s="88" customFormat="1" x14ac:dyDescent="0.25"/>
    <row r="195" s="88" customFormat="1" x14ac:dyDescent="0.25"/>
    <row r="196" s="88" customFormat="1" x14ac:dyDescent="0.25"/>
    <row r="197" s="88" customFormat="1" x14ac:dyDescent="0.25"/>
    <row r="198" s="88" customFormat="1" x14ac:dyDescent="0.25"/>
    <row r="199" s="88" customFormat="1" x14ac:dyDescent="0.25"/>
    <row r="200" s="88" customFormat="1" x14ac:dyDescent="0.25"/>
    <row r="201" s="88" customFormat="1" x14ac:dyDescent="0.25"/>
    <row r="202" s="88" customFormat="1" x14ac:dyDescent="0.25"/>
    <row r="203" s="88" customFormat="1" x14ac:dyDescent="0.25"/>
    <row r="204" s="88" customFormat="1" x14ac:dyDescent="0.25"/>
    <row r="205" s="88" customFormat="1" x14ac:dyDescent="0.25"/>
    <row r="206" s="88" customFormat="1" x14ac:dyDescent="0.25"/>
    <row r="207" s="88" customFormat="1" x14ac:dyDescent="0.25"/>
    <row r="208" s="88" customFormat="1" x14ac:dyDescent="0.25"/>
    <row r="209" s="88" customFormat="1" x14ac:dyDescent="0.25"/>
    <row r="210" s="88" customFormat="1" x14ac:dyDescent="0.25"/>
    <row r="211" s="88" customFormat="1" x14ac:dyDescent="0.25"/>
    <row r="212" s="88" customFormat="1" x14ac:dyDescent="0.25"/>
    <row r="213" s="88" customFormat="1" x14ac:dyDescent="0.25"/>
    <row r="214" s="88" customFormat="1" x14ac:dyDescent="0.25"/>
    <row r="215" s="88" customFormat="1" x14ac:dyDescent="0.25"/>
    <row r="216" s="88" customFormat="1" x14ac:dyDescent="0.25"/>
    <row r="217" s="88" customFormat="1" x14ac:dyDescent="0.25"/>
    <row r="218" s="88" customFormat="1" x14ac:dyDescent="0.25"/>
    <row r="219" s="88" customFormat="1" x14ac:dyDescent="0.25"/>
    <row r="220" s="88" customFormat="1" x14ac:dyDescent="0.25"/>
    <row r="221" s="88" customFormat="1" x14ac:dyDescent="0.25"/>
    <row r="222" s="88" customFormat="1" x14ac:dyDescent="0.25"/>
    <row r="223" s="88" customFormat="1" x14ac:dyDescent="0.25"/>
    <row r="224" s="88" customFormat="1" x14ac:dyDescent="0.25"/>
    <row r="225" s="88" customFormat="1" x14ac:dyDescent="0.25"/>
    <row r="226" s="88" customFormat="1" x14ac:dyDescent="0.25"/>
    <row r="227" s="88" customFormat="1" x14ac:dyDescent="0.25"/>
    <row r="228" s="88" customFormat="1" x14ac:dyDescent="0.25"/>
    <row r="229" s="88" customFormat="1" x14ac:dyDescent="0.25"/>
    <row r="230" s="88" customFormat="1" x14ac:dyDescent="0.25"/>
    <row r="231" s="88" customFormat="1" x14ac:dyDescent="0.25"/>
    <row r="232" s="88" customFormat="1" x14ac:dyDescent="0.25"/>
    <row r="233" s="88" customFormat="1" x14ac:dyDescent="0.25"/>
    <row r="234" s="88" customFormat="1" x14ac:dyDescent="0.25"/>
    <row r="235" s="88" customFormat="1" x14ac:dyDescent="0.25"/>
    <row r="236" s="88" customFormat="1" x14ac:dyDescent="0.25"/>
    <row r="237" s="88" customFormat="1" x14ac:dyDescent="0.25"/>
    <row r="238" s="88" customFormat="1" x14ac:dyDescent="0.25"/>
    <row r="239" s="88" customFormat="1" x14ac:dyDescent="0.25"/>
    <row r="240" s="88" customFormat="1" x14ac:dyDescent="0.25"/>
    <row r="241" s="88" customFormat="1" x14ac:dyDescent="0.25"/>
    <row r="242" s="88" customFormat="1" x14ac:dyDescent="0.25"/>
    <row r="243" s="88" customFormat="1" x14ac:dyDescent="0.25"/>
    <row r="244" s="88" customFormat="1" x14ac:dyDescent="0.25"/>
    <row r="245" s="88" customFormat="1" x14ac:dyDescent="0.25"/>
    <row r="246" s="88" customFormat="1" x14ac:dyDescent="0.25"/>
    <row r="247" s="88" customFormat="1" x14ac:dyDescent="0.25"/>
    <row r="248" s="88" customFormat="1" x14ac:dyDescent="0.25"/>
    <row r="249" s="88" customFormat="1" x14ac:dyDescent="0.25"/>
    <row r="250" s="88" customFormat="1" x14ac:dyDescent="0.25"/>
    <row r="251" s="88" customFormat="1" x14ac:dyDescent="0.25"/>
    <row r="252" s="88" customFormat="1" x14ac:dyDescent="0.25"/>
    <row r="253" s="88" customFormat="1" x14ac:dyDescent="0.25"/>
    <row r="254" s="88" customFormat="1" x14ac:dyDescent="0.25"/>
    <row r="255" s="88" customFormat="1" x14ac:dyDescent="0.25"/>
    <row r="256" s="88" customFormat="1" x14ac:dyDescent="0.25"/>
    <row r="257" s="88" customFormat="1" x14ac:dyDescent="0.25"/>
    <row r="258" s="88" customFormat="1" x14ac:dyDescent="0.25"/>
    <row r="259" s="88" customFormat="1" x14ac:dyDescent="0.25"/>
    <row r="260" s="88" customFormat="1" x14ac:dyDescent="0.25"/>
    <row r="261" s="88" customFormat="1" x14ac:dyDescent="0.25"/>
    <row r="262" s="88" customFormat="1" x14ac:dyDescent="0.25"/>
    <row r="263" s="88" customFormat="1" x14ac:dyDescent="0.25"/>
    <row r="264" s="88" customFormat="1" x14ac:dyDescent="0.25"/>
    <row r="265" s="88" customFormat="1" x14ac:dyDescent="0.25"/>
    <row r="266" s="88" customFormat="1" x14ac:dyDescent="0.25"/>
    <row r="267" s="88" customFormat="1" x14ac:dyDescent="0.25"/>
    <row r="268" s="88" customFormat="1" x14ac:dyDescent="0.25"/>
    <row r="269" s="88" customFormat="1" x14ac:dyDescent="0.25"/>
    <row r="270" s="88" customFormat="1" x14ac:dyDescent="0.25"/>
    <row r="271" s="88" customFormat="1" x14ac:dyDescent="0.25"/>
    <row r="272" s="88" customFormat="1" x14ac:dyDescent="0.25"/>
    <row r="273" s="88" customFormat="1" x14ac:dyDescent="0.25"/>
    <row r="274" s="88" customFormat="1" x14ac:dyDescent="0.25"/>
    <row r="275" s="88" customFormat="1" x14ac:dyDescent="0.25"/>
    <row r="276" s="88" customFormat="1" x14ac:dyDescent="0.25"/>
    <row r="277" s="88" customFormat="1" x14ac:dyDescent="0.25"/>
    <row r="278" s="88" customFormat="1" x14ac:dyDescent="0.25"/>
    <row r="279" s="88" customFormat="1" x14ac:dyDescent="0.25"/>
    <row r="280" s="88" customFormat="1" x14ac:dyDescent="0.25"/>
    <row r="281" s="88" customFormat="1" x14ac:dyDescent="0.25"/>
    <row r="282" s="88" customFormat="1" x14ac:dyDescent="0.25"/>
    <row r="283" s="88" customFormat="1" x14ac:dyDescent="0.25"/>
    <row r="284" s="88" customFormat="1" x14ac:dyDescent="0.25"/>
    <row r="285" s="88" customFormat="1" x14ac:dyDescent="0.25"/>
    <row r="286" s="88" customFormat="1" x14ac:dyDescent="0.25"/>
    <row r="287" s="88" customFormat="1" x14ac:dyDescent="0.25"/>
    <row r="288" s="88" customFormat="1" x14ac:dyDescent="0.25"/>
    <row r="289" s="88" customFormat="1" x14ac:dyDescent="0.25"/>
    <row r="290" s="88" customFormat="1" x14ac:dyDescent="0.25"/>
    <row r="291" s="88" customFormat="1" x14ac:dyDescent="0.25"/>
    <row r="292" s="88" customFormat="1" x14ac:dyDescent="0.25"/>
    <row r="293" s="88" customFormat="1" x14ac:dyDescent="0.25"/>
    <row r="294" s="88" customFormat="1" x14ac:dyDescent="0.25"/>
    <row r="295" s="88" customFormat="1" x14ac:dyDescent="0.25"/>
    <row r="296" s="88" customFormat="1" x14ac:dyDescent="0.25"/>
    <row r="297" s="88" customFormat="1" x14ac:dyDescent="0.25"/>
    <row r="298" s="88" customFormat="1" x14ac:dyDescent="0.25"/>
    <row r="299" s="88" customFormat="1" x14ac:dyDescent="0.25"/>
    <row r="300" s="88" customFormat="1" x14ac:dyDescent="0.25"/>
    <row r="301" s="88" customFormat="1" x14ac:dyDescent="0.25"/>
    <row r="302" s="88" customFormat="1" x14ac:dyDescent="0.25"/>
    <row r="303" s="88" customFormat="1" x14ac:dyDescent="0.25"/>
    <row r="304" s="88" customFormat="1" x14ac:dyDescent="0.25"/>
    <row r="305" s="88" customFormat="1" x14ac:dyDescent="0.25"/>
    <row r="306" s="88" customFormat="1" x14ac:dyDescent="0.25"/>
    <row r="307" s="88" customFormat="1" x14ac:dyDescent="0.25"/>
    <row r="308" s="88" customFormat="1" x14ac:dyDescent="0.25"/>
    <row r="309" s="88" customFormat="1" x14ac:dyDescent="0.25"/>
    <row r="310" s="88" customFormat="1" x14ac:dyDescent="0.25"/>
    <row r="311" s="88" customFormat="1" x14ac:dyDescent="0.25"/>
    <row r="312" s="88" customFormat="1" x14ac:dyDescent="0.25"/>
    <row r="313" s="88" customFormat="1" x14ac:dyDescent="0.25"/>
    <row r="314" s="88" customFormat="1" x14ac:dyDescent="0.25"/>
    <row r="315" s="88" customFormat="1" x14ac:dyDescent="0.25"/>
    <row r="316" s="88" customFormat="1" x14ac:dyDescent="0.25"/>
    <row r="317" s="88" customFormat="1" x14ac:dyDescent="0.25"/>
    <row r="318" s="88" customFormat="1" x14ac:dyDescent="0.25"/>
    <row r="319" s="88" customFormat="1" x14ac:dyDescent="0.25"/>
    <row r="320" s="88" customFormat="1" x14ac:dyDescent="0.25"/>
    <row r="321" s="88" customFormat="1" x14ac:dyDescent="0.25"/>
    <row r="322" s="88" customFormat="1" x14ac:dyDescent="0.25"/>
    <row r="323" s="88" customFormat="1" x14ac:dyDescent="0.25"/>
    <row r="324" s="88" customFormat="1" x14ac:dyDescent="0.25"/>
    <row r="325" s="88" customFormat="1" x14ac:dyDescent="0.25"/>
    <row r="326" s="88" customFormat="1" x14ac:dyDescent="0.25"/>
    <row r="327" s="88" customFormat="1" x14ac:dyDescent="0.25"/>
    <row r="328" s="88" customFormat="1" x14ac:dyDescent="0.25"/>
    <row r="329" s="88" customFormat="1" x14ac:dyDescent="0.25"/>
    <row r="330" s="88" customFormat="1" x14ac:dyDescent="0.25"/>
    <row r="331" s="88" customFormat="1" x14ac:dyDescent="0.25"/>
    <row r="332" s="88" customFormat="1" x14ac:dyDescent="0.25"/>
    <row r="333" s="88" customFormat="1" x14ac:dyDescent="0.25"/>
    <row r="334" s="88" customFormat="1" x14ac:dyDescent="0.25"/>
    <row r="335" s="88" customFormat="1" x14ac:dyDescent="0.25"/>
    <row r="336" s="88" customFormat="1" x14ac:dyDescent="0.25"/>
    <row r="337" s="88" customFormat="1" x14ac:dyDescent="0.25"/>
    <row r="338" s="88" customFormat="1" x14ac:dyDescent="0.25"/>
    <row r="339" s="88" customFormat="1" x14ac:dyDescent="0.25"/>
    <row r="340" s="88" customFormat="1" x14ac:dyDescent="0.25"/>
    <row r="341" s="88" customFormat="1" x14ac:dyDescent="0.25"/>
    <row r="342" s="88" customFormat="1" x14ac:dyDescent="0.25"/>
    <row r="343" s="88" customFormat="1" x14ac:dyDescent="0.25"/>
    <row r="344" s="88" customFormat="1" x14ac:dyDescent="0.25"/>
    <row r="345" s="88" customFormat="1" x14ac:dyDescent="0.25"/>
    <row r="346" s="88" customFormat="1" x14ac:dyDescent="0.25"/>
    <row r="347" s="88" customFormat="1" x14ac:dyDescent="0.25"/>
    <row r="348" s="88" customFormat="1" x14ac:dyDescent="0.25"/>
    <row r="349" s="88" customFormat="1" x14ac:dyDescent="0.25"/>
    <row r="350" s="88" customFormat="1" x14ac:dyDescent="0.25"/>
    <row r="351" s="88" customFormat="1" x14ac:dyDescent="0.25"/>
    <row r="352" s="88" customFormat="1" x14ac:dyDescent="0.25"/>
    <row r="353" s="88" customFormat="1" x14ac:dyDescent="0.25"/>
    <row r="354" s="88" customFormat="1" x14ac:dyDescent="0.25"/>
    <row r="355" s="88" customFormat="1" x14ac:dyDescent="0.25"/>
    <row r="356" s="88" customFormat="1" x14ac:dyDescent="0.25"/>
    <row r="357" s="88" customFormat="1" x14ac:dyDescent="0.25"/>
    <row r="358" s="88" customFormat="1" x14ac:dyDescent="0.25"/>
    <row r="359" s="88" customFormat="1" x14ac:dyDescent="0.25"/>
    <row r="360" s="88" customFormat="1" x14ac:dyDescent="0.25"/>
    <row r="361" s="88" customFormat="1" x14ac:dyDescent="0.25"/>
    <row r="362" s="88" customFormat="1" x14ac:dyDescent="0.25"/>
    <row r="363" s="88" customFormat="1" x14ac:dyDescent="0.25"/>
    <row r="364" s="88" customFormat="1" x14ac:dyDescent="0.25"/>
    <row r="365" s="88" customFormat="1" x14ac:dyDescent="0.25"/>
    <row r="366" s="88" customFormat="1" x14ac:dyDescent="0.25"/>
    <row r="367" s="88" customFormat="1" x14ac:dyDescent="0.25"/>
    <row r="368" s="88" customFormat="1" x14ac:dyDescent="0.25"/>
    <row r="369" s="88" customFormat="1" x14ac:dyDescent="0.25"/>
    <row r="370" s="88" customFormat="1" x14ac:dyDescent="0.25"/>
    <row r="371" s="88" customFormat="1" x14ac:dyDescent="0.25"/>
    <row r="372" s="88" customFormat="1" x14ac:dyDescent="0.25"/>
    <row r="373" s="88" customFormat="1" x14ac:dyDescent="0.25"/>
    <row r="374" s="88" customFormat="1" x14ac:dyDescent="0.25"/>
    <row r="375" s="88" customFormat="1" x14ac:dyDescent="0.25"/>
    <row r="376" s="88" customFormat="1" x14ac:dyDescent="0.25"/>
    <row r="377" s="88" customFormat="1" x14ac:dyDescent="0.25"/>
    <row r="378" s="88" customFormat="1" x14ac:dyDescent="0.25"/>
    <row r="379" s="88" customFormat="1" x14ac:dyDescent="0.25"/>
    <row r="380" s="88" customFormat="1" x14ac:dyDescent="0.25"/>
    <row r="381" s="88" customFormat="1" x14ac:dyDescent="0.25"/>
    <row r="382" s="88" customFormat="1" x14ac:dyDescent="0.25"/>
    <row r="383" s="88" customFormat="1" x14ac:dyDescent="0.25"/>
    <row r="384" s="88" customFormat="1" x14ac:dyDescent="0.25"/>
    <row r="385" s="88" customFormat="1" x14ac:dyDescent="0.25"/>
    <row r="386" s="88" customFormat="1" x14ac:dyDescent="0.25"/>
    <row r="387" s="88" customFormat="1" x14ac:dyDescent="0.25"/>
    <row r="388" s="88" customFormat="1" x14ac:dyDescent="0.25"/>
    <row r="389" s="88" customFormat="1" x14ac:dyDescent="0.25"/>
    <row r="390" s="88" customFormat="1" x14ac:dyDescent="0.25"/>
    <row r="391" s="88" customFormat="1" x14ac:dyDescent="0.25"/>
    <row r="392" s="88" customFormat="1" x14ac:dyDescent="0.25"/>
    <row r="393" s="88" customFormat="1" x14ac:dyDescent="0.25"/>
    <row r="394" s="88" customFormat="1" x14ac:dyDescent="0.25"/>
    <row r="395" s="88" customFormat="1" x14ac:dyDescent="0.25"/>
    <row r="396" s="88" customFormat="1" x14ac:dyDescent="0.25"/>
    <row r="397" s="88" customFormat="1" x14ac:dyDescent="0.25"/>
    <row r="398" s="88" customFormat="1" x14ac:dyDescent="0.25"/>
    <row r="399" s="88" customFormat="1" x14ac:dyDescent="0.25"/>
    <row r="400" s="88" customFormat="1" x14ac:dyDescent="0.25"/>
    <row r="401" s="88" customFormat="1" x14ac:dyDescent="0.25"/>
    <row r="402" s="88" customFormat="1" x14ac:dyDescent="0.25"/>
    <row r="403" s="88" customFormat="1" x14ac:dyDescent="0.25"/>
    <row r="404" s="88" customFormat="1" x14ac:dyDescent="0.25"/>
    <row r="405" s="88" customFormat="1" x14ac:dyDescent="0.25"/>
    <row r="406" s="88" customFormat="1" x14ac:dyDescent="0.25"/>
    <row r="407" s="88" customFormat="1" x14ac:dyDescent="0.25"/>
    <row r="408" s="88" customFormat="1" x14ac:dyDescent="0.25"/>
    <row r="409" s="88" customFormat="1" x14ac:dyDescent="0.25"/>
    <row r="410" s="88" customFormat="1" x14ac:dyDescent="0.25"/>
    <row r="411" s="88" customFormat="1" x14ac:dyDescent="0.25"/>
    <row r="412" s="88" customFormat="1" x14ac:dyDescent="0.25"/>
    <row r="413" s="88" customFormat="1" x14ac:dyDescent="0.25"/>
    <row r="414" s="88" customFormat="1" x14ac:dyDescent="0.25"/>
    <row r="415" s="88" customFormat="1" x14ac:dyDescent="0.25"/>
    <row r="416" s="88" customFormat="1" x14ac:dyDescent="0.25"/>
    <row r="417" s="88" customFormat="1" x14ac:dyDescent="0.25"/>
    <row r="418" s="88" customFormat="1" x14ac:dyDescent="0.25"/>
    <row r="419" s="88" customFormat="1" x14ac:dyDescent="0.25"/>
    <row r="420" s="88" customFormat="1" x14ac:dyDescent="0.25"/>
    <row r="421" s="88" customFormat="1" x14ac:dyDescent="0.25"/>
    <row r="422" s="88" customFormat="1" x14ac:dyDescent="0.25"/>
    <row r="423" s="88" customFormat="1" x14ac:dyDescent="0.25"/>
    <row r="424" s="88" customFormat="1" x14ac:dyDescent="0.25"/>
    <row r="425" s="88" customFormat="1" x14ac:dyDescent="0.25"/>
    <row r="426" s="88" customFormat="1" x14ac:dyDescent="0.25"/>
    <row r="427" s="88" customFormat="1" x14ac:dyDescent="0.25"/>
    <row r="428" s="88" customFormat="1" x14ac:dyDescent="0.25"/>
    <row r="429" s="88" customFormat="1" x14ac:dyDescent="0.25"/>
    <row r="430" s="88" customFormat="1" x14ac:dyDescent="0.25"/>
    <row r="431" s="88" customFormat="1" x14ac:dyDescent="0.25"/>
    <row r="432" s="88" customFormat="1" x14ac:dyDescent="0.25"/>
    <row r="433" s="88" customFormat="1" x14ac:dyDescent="0.25"/>
    <row r="434" s="88" customFormat="1" x14ac:dyDescent="0.25"/>
    <row r="435" s="88" customFormat="1" x14ac:dyDescent="0.25"/>
    <row r="436" s="88" customFormat="1" x14ac:dyDescent="0.25"/>
    <row r="437" s="88" customFormat="1" x14ac:dyDescent="0.25"/>
    <row r="438" s="88" customFormat="1" x14ac:dyDescent="0.25"/>
    <row r="439" s="88" customFormat="1" x14ac:dyDescent="0.25"/>
    <row r="440" s="88" customFormat="1" x14ac:dyDescent="0.25"/>
    <row r="441" s="88" customFormat="1" x14ac:dyDescent="0.25"/>
    <row r="442" s="88" customFormat="1" x14ac:dyDescent="0.25"/>
    <row r="443" s="88" customFormat="1" x14ac:dyDescent="0.25"/>
    <row r="444" s="88" customFormat="1" x14ac:dyDescent="0.25"/>
    <row r="445" s="88" customFormat="1" x14ac:dyDescent="0.25"/>
    <row r="446" s="88" customFormat="1" x14ac:dyDescent="0.25"/>
    <row r="447" s="88" customFormat="1" x14ac:dyDescent="0.25"/>
    <row r="448" s="88" customFormat="1" x14ac:dyDescent="0.25"/>
    <row r="449" s="88" customFormat="1" x14ac:dyDescent="0.25"/>
    <row r="450" s="88" customFormat="1" x14ac:dyDescent="0.25"/>
    <row r="451" s="88" customFormat="1" x14ac:dyDescent="0.25"/>
    <row r="452" s="88" customFormat="1" x14ac:dyDescent="0.25"/>
    <row r="453" s="88" customFormat="1" x14ac:dyDescent="0.25"/>
    <row r="454" s="88" customFormat="1" x14ac:dyDescent="0.25"/>
    <row r="455" s="88" customFormat="1" x14ac:dyDescent="0.25"/>
    <row r="456" s="88" customFormat="1" x14ac:dyDescent="0.25"/>
    <row r="457" s="88" customFormat="1" x14ac:dyDescent="0.25"/>
    <row r="458" s="88" customFormat="1" x14ac:dyDescent="0.25"/>
    <row r="459" s="88" customFormat="1" x14ac:dyDescent="0.25"/>
    <row r="460" s="88" customFormat="1" x14ac:dyDescent="0.25"/>
    <row r="461" s="88" customFormat="1" x14ac:dyDescent="0.25"/>
    <row r="462" s="88" customFormat="1" x14ac:dyDescent="0.25"/>
    <row r="463" s="88" customFormat="1" x14ac:dyDescent="0.25"/>
    <row r="464" s="88" customFormat="1" x14ac:dyDescent="0.25"/>
    <row r="465" s="88" customFormat="1" x14ac:dyDescent="0.25"/>
    <row r="466" s="88" customFormat="1" x14ac:dyDescent="0.25"/>
    <row r="467" s="88" customFormat="1" x14ac:dyDescent="0.25"/>
    <row r="468" s="88" customFormat="1" x14ac:dyDescent="0.25"/>
    <row r="469" s="88" customFormat="1" x14ac:dyDescent="0.25"/>
    <row r="470" s="88" customFormat="1" x14ac:dyDescent="0.25"/>
    <row r="471" s="88" customFormat="1" x14ac:dyDescent="0.25"/>
    <row r="472" s="88" customFormat="1" x14ac:dyDescent="0.25"/>
    <row r="473" s="88" customFormat="1" x14ac:dyDescent="0.25"/>
    <row r="474" s="88" customFormat="1" x14ac:dyDescent="0.25"/>
    <row r="475" s="88" customFormat="1" x14ac:dyDescent="0.25"/>
    <row r="476" s="88" customFormat="1" x14ac:dyDescent="0.25"/>
    <row r="477" s="88" customFormat="1" x14ac:dyDescent="0.25"/>
    <row r="478" s="88" customFormat="1" x14ac:dyDescent="0.25"/>
    <row r="479" s="88" customFormat="1" x14ac:dyDescent="0.25"/>
    <row r="480" s="88" customFormat="1" x14ac:dyDescent="0.25"/>
    <row r="481" s="88" customFormat="1" x14ac:dyDescent="0.25"/>
    <row r="482" s="88" customFormat="1" x14ac:dyDescent="0.25"/>
    <row r="483" s="88" customFormat="1" x14ac:dyDescent="0.25"/>
    <row r="484" s="88" customFormat="1" x14ac:dyDescent="0.25"/>
    <row r="485" s="88" customFormat="1" x14ac:dyDescent="0.25"/>
    <row r="486" s="88" customFormat="1" x14ac:dyDescent="0.25"/>
    <row r="487" s="88" customFormat="1" x14ac:dyDescent="0.25"/>
    <row r="488" s="88" customFormat="1" x14ac:dyDescent="0.25"/>
    <row r="489" s="88" customFormat="1" x14ac:dyDescent="0.25"/>
    <row r="490" s="88" customFormat="1" x14ac:dyDescent="0.25"/>
    <row r="491" s="88" customFormat="1" x14ac:dyDescent="0.25"/>
    <row r="492" s="88" customFormat="1" x14ac:dyDescent="0.25"/>
    <row r="493" s="88" customFormat="1" x14ac:dyDescent="0.25"/>
    <row r="494" s="88" customFormat="1" x14ac:dyDescent="0.25"/>
    <row r="495" s="88" customFormat="1" x14ac:dyDescent="0.25"/>
    <row r="496" s="88" customFormat="1" x14ac:dyDescent="0.25"/>
    <row r="497" s="88" customFormat="1" x14ac:dyDescent="0.25"/>
    <row r="498" s="88" customFormat="1" x14ac:dyDescent="0.25"/>
    <row r="499" s="88" customFormat="1" x14ac:dyDescent="0.25"/>
    <row r="500" s="88" customFormat="1" x14ac:dyDescent="0.25"/>
    <row r="501" s="88" customFormat="1" x14ac:dyDescent="0.25"/>
    <row r="502" s="88" customFormat="1" x14ac:dyDescent="0.25"/>
    <row r="503" s="88" customFormat="1" x14ac:dyDescent="0.25"/>
    <row r="504" s="88" customFormat="1" x14ac:dyDescent="0.25"/>
    <row r="505" s="88" customFormat="1" x14ac:dyDescent="0.25"/>
    <row r="506" s="88" customFormat="1" x14ac:dyDescent="0.25"/>
    <row r="507" s="88" customFormat="1" x14ac:dyDescent="0.25"/>
    <row r="508" s="88" customFormat="1" x14ac:dyDescent="0.25"/>
    <row r="509" s="88" customFormat="1" x14ac:dyDescent="0.25"/>
    <row r="510" s="88" customFormat="1" x14ac:dyDescent="0.25"/>
    <row r="511" s="88" customFormat="1" x14ac:dyDescent="0.25"/>
    <row r="512" s="88" customFormat="1" x14ac:dyDescent="0.25"/>
    <row r="513" s="88" customFormat="1" x14ac:dyDescent="0.25"/>
    <row r="514" s="88" customFormat="1" x14ac:dyDescent="0.25"/>
    <row r="515" s="88" customFormat="1" x14ac:dyDescent="0.25"/>
    <row r="516" s="88" customFormat="1" x14ac:dyDescent="0.25"/>
    <row r="517" s="88" customFormat="1" x14ac:dyDescent="0.25"/>
    <row r="518" s="88" customFormat="1" x14ac:dyDescent="0.25"/>
    <row r="519" s="88" customFormat="1" x14ac:dyDescent="0.25"/>
    <row r="520" s="88" customFormat="1" x14ac:dyDescent="0.25"/>
    <row r="521" s="88" customFormat="1" x14ac:dyDescent="0.25"/>
    <row r="522" s="88" customFormat="1" x14ac:dyDescent="0.25"/>
    <row r="523" s="88" customFormat="1" x14ac:dyDescent="0.25"/>
    <row r="524" s="88" customFormat="1" x14ac:dyDescent="0.25"/>
    <row r="525" s="88" customFormat="1" x14ac:dyDescent="0.25"/>
    <row r="526" s="88" customFormat="1" x14ac:dyDescent="0.25"/>
    <row r="527" s="88" customFormat="1" x14ac:dyDescent="0.25"/>
    <row r="528" s="88" customFormat="1" x14ac:dyDescent="0.25"/>
    <row r="529" s="88" customFormat="1" x14ac:dyDescent="0.25"/>
    <row r="530" s="88" customFormat="1" x14ac:dyDescent="0.25"/>
    <row r="531" s="88" customFormat="1" x14ac:dyDescent="0.25"/>
    <row r="532" s="88" customFormat="1" x14ac:dyDescent="0.25"/>
    <row r="533" s="88" customFormat="1" x14ac:dyDescent="0.25"/>
    <row r="534" s="88" customFormat="1" x14ac:dyDescent="0.25"/>
    <row r="535" s="88" customFormat="1" x14ac:dyDescent="0.25"/>
    <row r="536" s="88" customFormat="1" x14ac:dyDescent="0.25"/>
    <row r="537" s="88" customFormat="1" x14ac:dyDescent="0.25"/>
    <row r="538" s="88" customFormat="1" x14ac:dyDescent="0.25"/>
    <row r="539" s="88" customFormat="1" x14ac:dyDescent="0.25"/>
    <row r="540" s="88" customFormat="1" x14ac:dyDescent="0.25"/>
    <row r="541" s="88" customFormat="1" x14ac:dyDescent="0.25"/>
    <row r="542" s="88" customFormat="1" x14ac:dyDescent="0.25"/>
    <row r="543" s="88" customFormat="1" x14ac:dyDescent="0.25"/>
    <row r="544" s="88" customFormat="1" x14ac:dyDescent="0.25"/>
    <row r="545" s="88" customFormat="1" x14ac:dyDescent="0.25"/>
    <row r="546" s="88" customFormat="1" x14ac:dyDescent="0.25"/>
    <row r="547" s="88" customFormat="1" x14ac:dyDescent="0.25"/>
    <row r="548" s="88" customFormat="1" x14ac:dyDescent="0.25"/>
    <row r="549" s="88" customFormat="1" x14ac:dyDescent="0.25"/>
    <row r="550" s="88" customFormat="1" x14ac:dyDescent="0.25"/>
    <row r="551" s="88" customFormat="1" x14ac:dyDescent="0.25"/>
    <row r="552" s="88" customFormat="1" x14ac:dyDescent="0.25"/>
    <row r="553" s="88" customFormat="1" x14ac:dyDescent="0.25"/>
    <row r="554" s="88" customFormat="1" x14ac:dyDescent="0.25"/>
    <row r="555" s="88" customFormat="1" x14ac:dyDescent="0.25"/>
    <row r="556" s="88" customFormat="1" x14ac:dyDescent="0.25"/>
    <row r="557" s="88" customFormat="1" x14ac:dyDescent="0.25"/>
    <row r="558" s="88" customFormat="1" x14ac:dyDescent="0.25"/>
    <row r="559" s="88" customFormat="1" x14ac:dyDescent="0.25"/>
    <row r="560" s="88" customFormat="1" x14ac:dyDescent="0.25"/>
    <row r="561" s="88" customFormat="1" x14ac:dyDescent="0.25"/>
    <row r="562" s="88" customFormat="1" x14ac:dyDescent="0.25"/>
    <row r="563" s="88" customFormat="1" x14ac:dyDescent="0.25"/>
    <row r="564" s="88" customFormat="1" x14ac:dyDescent="0.25"/>
    <row r="565" s="88" customFormat="1" x14ac:dyDescent="0.25"/>
    <row r="566" s="88" customFormat="1" x14ac:dyDescent="0.25"/>
    <row r="567" s="88" customFormat="1" x14ac:dyDescent="0.25"/>
    <row r="568" s="88" customFormat="1" x14ac:dyDescent="0.25"/>
    <row r="569" s="88" customFormat="1" x14ac:dyDescent="0.25"/>
    <row r="570" s="88" customFormat="1" x14ac:dyDescent="0.25"/>
    <row r="571" s="88" customFormat="1" x14ac:dyDescent="0.25"/>
    <row r="572" s="88" customFormat="1" x14ac:dyDescent="0.25"/>
    <row r="573" s="88" customFormat="1" x14ac:dyDescent="0.25"/>
    <row r="574" s="88" customFormat="1" x14ac:dyDescent="0.25"/>
    <row r="575" s="88" customFormat="1" x14ac:dyDescent="0.25"/>
    <row r="576" s="88" customFormat="1" x14ac:dyDescent="0.25"/>
    <row r="577" s="88" customFormat="1" x14ac:dyDescent="0.25"/>
    <row r="578" s="88" customFormat="1" x14ac:dyDescent="0.25"/>
    <row r="579" s="88" customFormat="1" x14ac:dyDescent="0.25"/>
    <row r="580" s="88" customFormat="1" x14ac:dyDescent="0.25"/>
    <row r="581" s="88" customFormat="1" x14ac:dyDescent="0.25"/>
    <row r="582" s="88" customFormat="1" x14ac:dyDescent="0.25"/>
    <row r="583" s="88" customFormat="1" x14ac:dyDescent="0.25"/>
    <row r="584" s="88" customFormat="1" x14ac:dyDescent="0.25"/>
    <row r="585" s="88" customFormat="1" x14ac:dyDescent="0.25"/>
    <row r="586" s="88" customFormat="1" x14ac:dyDescent="0.25"/>
    <row r="587" s="88" customFormat="1" x14ac:dyDescent="0.25"/>
    <row r="588" s="88" customFormat="1" x14ac:dyDescent="0.25"/>
    <row r="589" s="88" customFormat="1" x14ac:dyDescent="0.25"/>
    <row r="590" s="88" customFormat="1" x14ac:dyDescent="0.25"/>
    <row r="591" s="88" customFormat="1" x14ac:dyDescent="0.25"/>
    <row r="592" s="88" customFormat="1" x14ac:dyDescent="0.25"/>
    <row r="593" s="88" customFormat="1" x14ac:dyDescent="0.25"/>
    <row r="594" s="88" customFormat="1" x14ac:dyDescent="0.25"/>
    <row r="595" s="88" customFormat="1" x14ac:dyDescent="0.25"/>
    <row r="596" s="88" customFormat="1" x14ac:dyDescent="0.25"/>
    <row r="597" s="88" customFormat="1" x14ac:dyDescent="0.25"/>
    <row r="598" s="88" customFormat="1" x14ac:dyDescent="0.25"/>
    <row r="599" s="88" customFormat="1" x14ac:dyDescent="0.25"/>
    <row r="600" s="88" customFormat="1" x14ac:dyDescent="0.25"/>
    <row r="601" s="88" customFormat="1" x14ac:dyDescent="0.25"/>
    <row r="602" s="88" customFormat="1" x14ac:dyDescent="0.25"/>
    <row r="603" s="88" customFormat="1" x14ac:dyDescent="0.25"/>
    <row r="604" s="88" customFormat="1" x14ac:dyDescent="0.25"/>
    <row r="605" s="88" customFormat="1" x14ac:dyDescent="0.25"/>
    <row r="606" s="88" customFormat="1" x14ac:dyDescent="0.25"/>
    <row r="607" s="88" customFormat="1" x14ac:dyDescent="0.25"/>
    <row r="608" s="88" customFormat="1" x14ac:dyDescent="0.25"/>
    <row r="609" s="88" customFormat="1" x14ac:dyDescent="0.25"/>
    <row r="610" s="88" customFormat="1" x14ac:dyDescent="0.25"/>
    <row r="611" s="88" customFormat="1" x14ac:dyDescent="0.25"/>
    <row r="612" s="88" customFormat="1" x14ac:dyDescent="0.25"/>
    <row r="613" s="88" customFormat="1" x14ac:dyDescent="0.25"/>
    <row r="614" s="88" customFormat="1" x14ac:dyDescent="0.25"/>
    <row r="615" s="88" customFormat="1" x14ac:dyDescent="0.25"/>
    <row r="616" s="88" customFormat="1" x14ac:dyDescent="0.25"/>
    <row r="617" s="88" customFormat="1" x14ac:dyDescent="0.25"/>
    <row r="618" s="88" customFormat="1" x14ac:dyDescent="0.25"/>
    <row r="619" s="88" customFormat="1" x14ac:dyDescent="0.25"/>
    <row r="620" s="88" customFormat="1" x14ac:dyDescent="0.25"/>
    <row r="621" s="88" customFormat="1" x14ac:dyDescent="0.25"/>
    <row r="622" s="88" customFormat="1" x14ac:dyDescent="0.25"/>
    <row r="623" s="88" customFormat="1" x14ac:dyDescent="0.25"/>
    <row r="624" s="88" customFormat="1" x14ac:dyDescent="0.25"/>
    <row r="625" s="88" customFormat="1" x14ac:dyDescent="0.25"/>
    <row r="626" s="88" customFormat="1" x14ac:dyDescent="0.25"/>
    <row r="627" s="88" customFormat="1" x14ac:dyDescent="0.25"/>
    <row r="628" s="88" customFormat="1" x14ac:dyDescent="0.25"/>
    <row r="629" s="88" customFormat="1" x14ac:dyDescent="0.25"/>
    <row r="630" s="88" customFormat="1" x14ac:dyDescent="0.25"/>
    <row r="631" s="88" customFormat="1" x14ac:dyDescent="0.25"/>
    <row r="632" s="88" customFormat="1" x14ac:dyDescent="0.25"/>
    <row r="633" s="88" customFormat="1" x14ac:dyDescent="0.25"/>
    <row r="634" s="88" customFormat="1" x14ac:dyDescent="0.25"/>
    <row r="635" s="88" customFormat="1" x14ac:dyDescent="0.25"/>
    <row r="636" s="88" customFormat="1" x14ac:dyDescent="0.25"/>
    <row r="637" s="88" customFormat="1" x14ac:dyDescent="0.25"/>
    <row r="638" s="88" customFormat="1" x14ac:dyDescent="0.25"/>
    <row r="639" s="88" customFormat="1" x14ac:dyDescent="0.25"/>
    <row r="640" s="88" customFormat="1" x14ac:dyDescent="0.25"/>
    <row r="641" s="88" customFormat="1" x14ac:dyDescent="0.25"/>
    <row r="642" s="88" customFormat="1" x14ac:dyDescent="0.25"/>
    <row r="643" s="88" customFormat="1" x14ac:dyDescent="0.25"/>
    <row r="644" s="88" customFormat="1" x14ac:dyDescent="0.25"/>
    <row r="645" s="88" customFormat="1" x14ac:dyDescent="0.25"/>
    <row r="646" s="88" customFormat="1" x14ac:dyDescent="0.25"/>
    <row r="647" s="88" customFormat="1" x14ac:dyDescent="0.25"/>
    <row r="648" s="88" customFormat="1" x14ac:dyDescent="0.25"/>
    <row r="649" s="88" customFormat="1" x14ac:dyDescent="0.25"/>
    <row r="650" s="88" customFormat="1" x14ac:dyDescent="0.25"/>
    <row r="651" s="88" customFormat="1" x14ac:dyDescent="0.25"/>
    <row r="652" s="88" customFormat="1" x14ac:dyDescent="0.25"/>
    <row r="653" s="88" customFormat="1" x14ac:dyDescent="0.25"/>
    <row r="654" s="88" customFormat="1" x14ac:dyDescent="0.25"/>
    <row r="655" s="88" customFormat="1" x14ac:dyDescent="0.25"/>
    <row r="656" s="88" customFormat="1" x14ac:dyDescent="0.25"/>
    <row r="657" s="88" customFormat="1" x14ac:dyDescent="0.25"/>
    <row r="658" s="88" customFormat="1" x14ac:dyDescent="0.25"/>
    <row r="659" s="88" customFormat="1" x14ac:dyDescent="0.25"/>
    <row r="660" s="88" customFormat="1" x14ac:dyDescent="0.25"/>
    <row r="661" s="88" customFormat="1" x14ac:dyDescent="0.25"/>
    <row r="662" s="88" customFormat="1" x14ac:dyDescent="0.25"/>
    <row r="663" s="88" customFormat="1" x14ac:dyDescent="0.25"/>
    <row r="664" s="88" customFormat="1" x14ac:dyDescent="0.25"/>
    <row r="665" s="88" customFormat="1" x14ac:dyDescent="0.25"/>
    <row r="666" s="88" customFormat="1" x14ac:dyDescent="0.25"/>
    <row r="667" s="88" customFormat="1" x14ac:dyDescent="0.25"/>
    <row r="668" s="88" customFormat="1" x14ac:dyDescent="0.25"/>
    <row r="669" s="88" customFormat="1" x14ac:dyDescent="0.25"/>
    <row r="670" s="88" customFormat="1" x14ac:dyDescent="0.25"/>
    <row r="671" s="88" customFormat="1" x14ac:dyDescent="0.25"/>
    <row r="672" s="88" customFormat="1" x14ac:dyDescent="0.25"/>
    <row r="673" s="88" customFormat="1" x14ac:dyDescent="0.25"/>
    <row r="674" s="88" customFormat="1" x14ac:dyDescent="0.25"/>
    <row r="675" s="88" customFormat="1" x14ac:dyDescent="0.25"/>
    <row r="676" s="88" customFormat="1" x14ac:dyDescent="0.25"/>
    <row r="677" s="88" customFormat="1" x14ac:dyDescent="0.25"/>
    <row r="678" s="88" customFormat="1" x14ac:dyDescent="0.25"/>
    <row r="679" s="88" customFormat="1" x14ac:dyDescent="0.25"/>
    <row r="680" s="88" customFormat="1" x14ac:dyDescent="0.25"/>
    <row r="681" s="88" customFormat="1" x14ac:dyDescent="0.25"/>
    <row r="682" s="88" customFormat="1" x14ac:dyDescent="0.25"/>
    <row r="683" s="88" customFormat="1" x14ac:dyDescent="0.25"/>
    <row r="684" s="88" customFormat="1" x14ac:dyDescent="0.25"/>
    <row r="685" s="88" customFormat="1" x14ac:dyDescent="0.25"/>
    <row r="686" s="88" customFormat="1" x14ac:dyDescent="0.25"/>
    <row r="687" s="88" customFormat="1" x14ac:dyDescent="0.25"/>
    <row r="688" s="88" customFormat="1" x14ac:dyDescent="0.25"/>
  </sheetData>
  <sheetProtection password="90CC" sheet="1" objects="1" scenarios="1"/>
  <mergeCells count="66">
    <mergeCell ref="AW2:AZ2"/>
    <mergeCell ref="D13:E13"/>
    <mergeCell ref="D12:E12"/>
    <mergeCell ref="BJ10:BM10"/>
    <mergeCell ref="BJ5:BM5"/>
    <mergeCell ref="AW3:AZ3"/>
    <mergeCell ref="BF6:BI6"/>
    <mergeCell ref="AQ6:AU6"/>
    <mergeCell ref="AQ5:AU5"/>
    <mergeCell ref="AQ4:AU4"/>
    <mergeCell ref="AQ3:AU3"/>
    <mergeCell ref="BB13:BF13"/>
    <mergeCell ref="E5:V6"/>
    <mergeCell ref="M9:Q9"/>
    <mergeCell ref="F13:T13"/>
    <mergeCell ref="F12:T12"/>
    <mergeCell ref="AI4:AI7"/>
    <mergeCell ref="D18:BO18"/>
    <mergeCell ref="D15:BO15"/>
    <mergeCell ref="W16:BO16"/>
    <mergeCell ref="D16:V16"/>
    <mergeCell ref="U12:V12"/>
    <mergeCell ref="U13:V13"/>
    <mergeCell ref="BJ12:BM12"/>
    <mergeCell ref="AJ4:AK4"/>
    <mergeCell ref="AJ7:AK7"/>
    <mergeCell ref="AJ6:AK6"/>
    <mergeCell ref="AJ5:AK5"/>
    <mergeCell ref="X9:AL13"/>
    <mergeCell ref="AQ9:AU10"/>
    <mergeCell ref="AQ11:AU12"/>
    <mergeCell ref="BJ6:BM6"/>
    <mergeCell ref="AV36:BN36"/>
    <mergeCell ref="AS37:AT37"/>
    <mergeCell ref="AV37:BN37"/>
    <mergeCell ref="AV28:BN28"/>
    <mergeCell ref="AS29:AT29"/>
    <mergeCell ref="AV29:BN29"/>
    <mergeCell ref="AV32:BN32"/>
    <mergeCell ref="AS33:AT33"/>
    <mergeCell ref="AV33:BN33"/>
    <mergeCell ref="M37:N37"/>
    <mergeCell ref="P37:AH37"/>
    <mergeCell ref="P32:AH32"/>
    <mergeCell ref="M33:N33"/>
    <mergeCell ref="P33:AH33"/>
    <mergeCell ref="M29:N29"/>
    <mergeCell ref="P29:AH29"/>
    <mergeCell ref="P36:AH36"/>
    <mergeCell ref="M21:N21"/>
    <mergeCell ref="P24:AH24"/>
    <mergeCell ref="M25:N25"/>
    <mergeCell ref="P25:AH25"/>
    <mergeCell ref="P28:AH28"/>
    <mergeCell ref="AS25:AT25"/>
    <mergeCell ref="AV25:BN25"/>
    <mergeCell ref="AW4:AZ4"/>
    <mergeCell ref="AW5:AZ5"/>
    <mergeCell ref="AW10:AZ10"/>
    <mergeCell ref="AW12:AZ12"/>
    <mergeCell ref="AV20:BN20"/>
    <mergeCell ref="P20:AH20"/>
    <mergeCell ref="P21:AH21"/>
    <mergeCell ref="AS21:AT21"/>
    <mergeCell ref="AV21:BN21"/>
    <mergeCell ref="AV24:BN24"/>
  </mergeCells>
  <hyperlinks>
    <hyperlink ref="D13:E13" location="'S1'!A1" display="'S1'!A1"/>
    <hyperlink ref="D12:E12" location="'S2'!A1" display="'S2'!A1"/>
    <hyperlink ref="F13:T13" location="'S1'!A1" display="'S1'!A1"/>
    <hyperlink ref="F12:T12" location="'S2'!A1" display="'S2'!A1"/>
    <hyperlink ref="U13:V13" location="'S1'!A1" display="→"/>
    <hyperlink ref="U12:V12" location="'S2'!A1" display="Ü"/>
  </hyperlinks>
  <pageMargins left="0.7" right="0.7" top="0.78740157499999996" bottom="0.78740157499999996" header="0.3" footer="0.3"/>
  <pageSetup paperSize="9" scale="62" orientation="landscape" r:id="rId1"/>
  <drawing r:id="rId2"/>
  <legacyDrawing r:id="rId3"/>
  <controls>
    <mc:AlternateContent xmlns:mc="http://schemas.openxmlformats.org/markup-compatibility/2006">
      <mc:Choice Requires="x14">
        <control shapeId="4140" r:id="rId4" name="OptionButton17">
          <controlPr autoLine="0" linkedCell="'Material+Limits'!K60" r:id="rId5">
            <anchor moveWithCells="1">
              <from>
                <xdr:col>58</xdr:col>
                <xdr:colOff>85725</xdr:colOff>
                <xdr:row>11</xdr:row>
                <xdr:rowOff>66675</xdr:rowOff>
              </from>
              <to>
                <xdr:col>59</xdr:col>
                <xdr:colOff>104775</xdr:colOff>
                <xdr:row>11</xdr:row>
                <xdr:rowOff>219075</xdr:rowOff>
              </to>
            </anchor>
          </controlPr>
        </control>
      </mc:Choice>
      <mc:Fallback>
        <control shapeId="4140" r:id="rId4" name="OptionButton17"/>
      </mc:Fallback>
    </mc:AlternateContent>
    <mc:AlternateContent xmlns:mc="http://schemas.openxmlformats.org/markup-compatibility/2006">
      <mc:Choice Requires="x14">
        <control shapeId="4139" r:id="rId6" name="OptionButton16">
          <controlPr autoLine="0" linkedCell="'Material+Limits'!K59" r:id="rId7">
            <anchor moveWithCells="1">
              <from>
                <xdr:col>58</xdr:col>
                <xdr:colOff>85725</xdr:colOff>
                <xdr:row>9</xdr:row>
                <xdr:rowOff>57150</xdr:rowOff>
              </from>
              <to>
                <xdr:col>59</xdr:col>
                <xdr:colOff>85725</xdr:colOff>
                <xdr:row>9</xdr:row>
                <xdr:rowOff>219075</xdr:rowOff>
              </to>
            </anchor>
          </controlPr>
        </control>
      </mc:Choice>
      <mc:Fallback>
        <control shapeId="4139" r:id="rId6" name="OptionButton16"/>
      </mc:Fallback>
    </mc:AlternateContent>
    <mc:AlternateContent xmlns:mc="http://schemas.openxmlformats.org/markup-compatibility/2006">
      <mc:Choice Requires="x14">
        <control shapeId="4118" r:id="rId8" name="OptionButton2">
          <controlPr defaultSize="0" autoLine="0" linkedCell="'Material+Limits'!P3" r:id="rId9">
            <anchor moveWithCells="1">
              <from>
                <xdr:col>12</xdr:col>
                <xdr:colOff>85725</xdr:colOff>
                <xdr:row>19</xdr:row>
                <xdr:rowOff>66675</xdr:rowOff>
              </from>
              <to>
                <xdr:col>13</xdr:col>
                <xdr:colOff>114300</xdr:colOff>
                <xdr:row>20</xdr:row>
                <xdr:rowOff>47625</xdr:rowOff>
              </to>
            </anchor>
          </controlPr>
        </control>
      </mc:Choice>
      <mc:Fallback>
        <control shapeId="4118" r:id="rId8" name="OptionButton2"/>
      </mc:Fallback>
    </mc:AlternateContent>
    <mc:AlternateContent xmlns:mc="http://schemas.openxmlformats.org/markup-compatibility/2006">
      <mc:Choice Requires="x14">
        <control shapeId="4120" r:id="rId10" name="OptionButton3">
          <controlPr defaultSize="0" autoLine="0" linkedCell="'Material+Limits'!P4" r:id="rId11">
            <anchor moveWithCells="1">
              <from>
                <xdr:col>12</xdr:col>
                <xdr:colOff>85725</xdr:colOff>
                <xdr:row>23</xdr:row>
                <xdr:rowOff>66675</xdr:rowOff>
              </from>
              <to>
                <xdr:col>13</xdr:col>
                <xdr:colOff>114300</xdr:colOff>
                <xdr:row>24</xdr:row>
                <xdr:rowOff>47625</xdr:rowOff>
              </to>
            </anchor>
          </controlPr>
        </control>
      </mc:Choice>
      <mc:Fallback>
        <control shapeId="4120" r:id="rId10" name="OptionButton3"/>
      </mc:Fallback>
    </mc:AlternateContent>
    <mc:AlternateContent xmlns:mc="http://schemas.openxmlformats.org/markup-compatibility/2006">
      <mc:Choice Requires="x14">
        <control shapeId="4121" r:id="rId12" name="OptionButton1">
          <controlPr defaultSize="0" autoLine="0" linkedCell="'Material+Limits'!P5" r:id="rId11">
            <anchor moveWithCells="1">
              <from>
                <xdr:col>12</xdr:col>
                <xdr:colOff>85725</xdr:colOff>
                <xdr:row>27</xdr:row>
                <xdr:rowOff>66675</xdr:rowOff>
              </from>
              <to>
                <xdr:col>13</xdr:col>
                <xdr:colOff>114300</xdr:colOff>
                <xdr:row>28</xdr:row>
                <xdr:rowOff>47625</xdr:rowOff>
              </to>
            </anchor>
          </controlPr>
        </control>
      </mc:Choice>
      <mc:Fallback>
        <control shapeId="4121" r:id="rId12" name="OptionButton1"/>
      </mc:Fallback>
    </mc:AlternateContent>
    <mc:AlternateContent xmlns:mc="http://schemas.openxmlformats.org/markup-compatibility/2006">
      <mc:Choice Requires="x14">
        <control shapeId="4122" r:id="rId13" name="OptionButton4">
          <controlPr defaultSize="0" autoLine="0" linkedCell="'Material+Limits'!P6" r:id="rId11">
            <anchor moveWithCells="1">
              <from>
                <xdr:col>12</xdr:col>
                <xdr:colOff>85725</xdr:colOff>
                <xdr:row>31</xdr:row>
                <xdr:rowOff>85725</xdr:rowOff>
              </from>
              <to>
                <xdr:col>13</xdr:col>
                <xdr:colOff>114300</xdr:colOff>
                <xdr:row>32</xdr:row>
                <xdr:rowOff>66675</xdr:rowOff>
              </to>
            </anchor>
          </controlPr>
        </control>
      </mc:Choice>
      <mc:Fallback>
        <control shapeId="4122" r:id="rId13" name="OptionButton4"/>
      </mc:Fallback>
    </mc:AlternateContent>
    <mc:AlternateContent xmlns:mc="http://schemas.openxmlformats.org/markup-compatibility/2006">
      <mc:Choice Requires="x14">
        <control shapeId="4123" r:id="rId14" name="OptionButton5">
          <controlPr defaultSize="0" autoLine="0" linkedCell="'Material+Limits'!P7" r:id="rId11">
            <anchor moveWithCells="1">
              <from>
                <xdr:col>12</xdr:col>
                <xdr:colOff>85725</xdr:colOff>
                <xdr:row>35</xdr:row>
                <xdr:rowOff>76200</xdr:rowOff>
              </from>
              <to>
                <xdr:col>13</xdr:col>
                <xdr:colOff>114300</xdr:colOff>
                <xdr:row>36</xdr:row>
                <xdr:rowOff>57150</xdr:rowOff>
              </to>
            </anchor>
          </controlPr>
        </control>
      </mc:Choice>
      <mc:Fallback>
        <control shapeId="4123" r:id="rId14" name="OptionButton5"/>
      </mc:Fallback>
    </mc:AlternateContent>
    <mc:AlternateContent xmlns:mc="http://schemas.openxmlformats.org/markup-compatibility/2006">
      <mc:Choice Requires="x14">
        <control shapeId="4124" r:id="rId15" name="OptionButton6">
          <controlPr defaultSize="0" autoLine="0" linkedCell="'Material+Limits'!P8" r:id="rId11">
            <anchor moveWithCells="1">
              <from>
                <xdr:col>44</xdr:col>
                <xdr:colOff>76200</xdr:colOff>
                <xdr:row>19</xdr:row>
                <xdr:rowOff>66675</xdr:rowOff>
              </from>
              <to>
                <xdr:col>45</xdr:col>
                <xdr:colOff>104775</xdr:colOff>
                <xdr:row>20</xdr:row>
                <xdr:rowOff>47625</xdr:rowOff>
              </to>
            </anchor>
          </controlPr>
        </control>
      </mc:Choice>
      <mc:Fallback>
        <control shapeId="4124" r:id="rId15" name="OptionButton6"/>
      </mc:Fallback>
    </mc:AlternateContent>
    <mc:AlternateContent xmlns:mc="http://schemas.openxmlformats.org/markup-compatibility/2006">
      <mc:Choice Requires="x14">
        <control shapeId="4125" r:id="rId16" name="OptionButton7">
          <controlPr defaultSize="0" autoLine="0" linkedCell="'Material+Limits'!P9" r:id="rId11">
            <anchor moveWithCells="1">
              <from>
                <xdr:col>44</xdr:col>
                <xdr:colOff>76200</xdr:colOff>
                <xdr:row>23</xdr:row>
                <xdr:rowOff>66675</xdr:rowOff>
              </from>
              <to>
                <xdr:col>45</xdr:col>
                <xdr:colOff>104775</xdr:colOff>
                <xdr:row>24</xdr:row>
                <xdr:rowOff>47625</xdr:rowOff>
              </to>
            </anchor>
          </controlPr>
        </control>
      </mc:Choice>
      <mc:Fallback>
        <control shapeId="4125" r:id="rId16" name="OptionButton7"/>
      </mc:Fallback>
    </mc:AlternateContent>
    <mc:AlternateContent xmlns:mc="http://schemas.openxmlformats.org/markup-compatibility/2006">
      <mc:Choice Requires="x14">
        <control shapeId="4126" r:id="rId17" name="OptionButton8">
          <controlPr defaultSize="0" autoLine="0" linkedCell="'Material+Limits'!P10" r:id="rId11">
            <anchor moveWithCells="1">
              <from>
                <xdr:col>44</xdr:col>
                <xdr:colOff>76200</xdr:colOff>
                <xdr:row>27</xdr:row>
                <xdr:rowOff>66675</xdr:rowOff>
              </from>
              <to>
                <xdr:col>45</xdr:col>
                <xdr:colOff>104775</xdr:colOff>
                <xdr:row>28</xdr:row>
                <xdr:rowOff>47625</xdr:rowOff>
              </to>
            </anchor>
          </controlPr>
        </control>
      </mc:Choice>
      <mc:Fallback>
        <control shapeId="4126" r:id="rId17" name="OptionButton8"/>
      </mc:Fallback>
    </mc:AlternateContent>
    <mc:AlternateContent xmlns:mc="http://schemas.openxmlformats.org/markup-compatibility/2006">
      <mc:Choice Requires="x14">
        <control shapeId="4127" r:id="rId18" name="OptionButton9">
          <controlPr defaultSize="0" autoLine="0" linkedCell="'Material+Limits'!P11" r:id="rId11">
            <anchor moveWithCells="1">
              <from>
                <xdr:col>44</xdr:col>
                <xdr:colOff>76200</xdr:colOff>
                <xdr:row>31</xdr:row>
                <xdr:rowOff>85725</xdr:rowOff>
              </from>
              <to>
                <xdr:col>45</xdr:col>
                <xdr:colOff>104775</xdr:colOff>
                <xdr:row>32</xdr:row>
                <xdr:rowOff>66675</xdr:rowOff>
              </to>
            </anchor>
          </controlPr>
        </control>
      </mc:Choice>
      <mc:Fallback>
        <control shapeId="4127" r:id="rId18" name="OptionButton9"/>
      </mc:Fallback>
    </mc:AlternateContent>
    <mc:AlternateContent xmlns:mc="http://schemas.openxmlformats.org/markup-compatibility/2006">
      <mc:Choice Requires="x14">
        <control shapeId="4128" r:id="rId19" name="OptionButton10">
          <controlPr defaultSize="0" autoLine="0" linkedCell="'Material+Limits'!P12" r:id="rId11">
            <anchor moveWithCells="1">
              <from>
                <xdr:col>44</xdr:col>
                <xdr:colOff>76200</xdr:colOff>
                <xdr:row>35</xdr:row>
                <xdr:rowOff>76200</xdr:rowOff>
              </from>
              <to>
                <xdr:col>45</xdr:col>
                <xdr:colOff>104775</xdr:colOff>
                <xdr:row>36</xdr:row>
                <xdr:rowOff>57150</xdr:rowOff>
              </to>
            </anchor>
          </controlPr>
        </control>
      </mc:Choice>
      <mc:Fallback>
        <control shapeId="4128" r:id="rId19" name="OptionButton10"/>
      </mc:Fallback>
    </mc:AlternateContent>
    <mc:AlternateContent xmlns:mc="http://schemas.openxmlformats.org/markup-compatibility/2006">
      <mc:Choice Requires="x14">
        <control shapeId="4129" r:id="rId20" name="OptionButton11">
          <controlPr defaultSize="0" autoLine="0" linkedCell="'Material+Limits'!Q21" r:id="rId7">
            <anchor moveWithCells="1">
              <from>
                <xdr:col>36</xdr:col>
                <xdr:colOff>123825</xdr:colOff>
                <xdr:row>2</xdr:row>
                <xdr:rowOff>47625</xdr:rowOff>
              </from>
              <to>
                <xdr:col>37</xdr:col>
                <xdr:colOff>123825</xdr:colOff>
                <xdr:row>2</xdr:row>
                <xdr:rowOff>209550</xdr:rowOff>
              </to>
            </anchor>
          </controlPr>
        </control>
      </mc:Choice>
      <mc:Fallback>
        <control shapeId="4129" r:id="rId20" name="OptionButton11"/>
      </mc:Fallback>
    </mc:AlternateContent>
    <mc:AlternateContent xmlns:mc="http://schemas.openxmlformats.org/markup-compatibility/2006">
      <mc:Choice Requires="x14">
        <control shapeId="4130" r:id="rId21" name="OptionButton12">
          <controlPr defaultSize="0" autoLine="0" linkedCell="'Material+Limits'!Q22" r:id="rId22">
            <anchor moveWithCells="1">
              <from>
                <xdr:col>36</xdr:col>
                <xdr:colOff>123825</xdr:colOff>
                <xdr:row>3</xdr:row>
                <xdr:rowOff>38100</xdr:rowOff>
              </from>
              <to>
                <xdr:col>38</xdr:col>
                <xdr:colOff>0</xdr:colOff>
                <xdr:row>3</xdr:row>
                <xdr:rowOff>228600</xdr:rowOff>
              </to>
            </anchor>
          </controlPr>
        </control>
      </mc:Choice>
      <mc:Fallback>
        <control shapeId="4130" r:id="rId21" name="OptionButton12"/>
      </mc:Fallback>
    </mc:AlternateContent>
    <mc:AlternateContent xmlns:mc="http://schemas.openxmlformats.org/markup-compatibility/2006">
      <mc:Choice Requires="x14">
        <control shapeId="4131" r:id="rId23" name="OptionButton13">
          <controlPr defaultSize="0" autoLine="0" linkedCell="'Material+Limits'!Q23" r:id="rId22">
            <anchor moveWithCells="1">
              <from>
                <xdr:col>36</xdr:col>
                <xdr:colOff>123825</xdr:colOff>
                <xdr:row>4</xdr:row>
                <xdr:rowOff>28575</xdr:rowOff>
              </from>
              <to>
                <xdr:col>38</xdr:col>
                <xdr:colOff>0</xdr:colOff>
                <xdr:row>4</xdr:row>
                <xdr:rowOff>219075</xdr:rowOff>
              </to>
            </anchor>
          </controlPr>
        </control>
      </mc:Choice>
      <mc:Fallback>
        <control shapeId="4131" r:id="rId23" name="OptionButton13"/>
      </mc:Fallback>
    </mc:AlternateContent>
    <mc:AlternateContent xmlns:mc="http://schemas.openxmlformats.org/markup-compatibility/2006">
      <mc:Choice Requires="x14">
        <control shapeId="4132" r:id="rId24" name="OptionButton14">
          <controlPr defaultSize="0" autoLine="0" linkedCell="'Material+Limits'!Q24" r:id="rId22">
            <anchor moveWithCells="1">
              <from>
                <xdr:col>36</xdr:col>
                <xdr:colOff>123825</xdr:colOff>
                <xdr:row>5</xdr:row>
                <xdr:rowOff>38100</xdr:rowOff>
              </from>
              <to>
                <xdr:col>38</xdr:col>
                <xdr:colOff>0</xdr:colOff>
                <xdr:row>5</xdr:row>
                <xdr:rowOff>228600</xdr:rowOff>
              </to>
            </anchor>
          </controlPr>
        </control>
      </mc:Choice>
      <mc:Fallback>
        <control shapeId="4132" r:id="rId24" name="OptionButton14"/>
      </mc:Fallback>
    </mc:AlternateContent>
    <mc:AlternateContent xmlns:mc="http://schemas.openxmlformats.org/markup-compatibility/2006">
      <mc:Choice Requires="x14">
        <control shapeId="4133" r:id="rId25" name="OptionButton15">
          <controlPr defaultSize="0" autoLine="0" linkedCell="'Material+Limits'!Q25" r:id="rId22">
            <anchor moveWithCells="1">
              <from>
                <xdr:col>36</xdr:col>
                <xdr:colOff>123825</xdr:colOff>
                <xdr:row>6</xdr:row>
                <xdr:rowOff>38100</xdr:rowOff>
              </from>
              <to>
                <xdr:col>38</xdr:col>
                <xdr:colOff>0</xdr:colOff>
                <xdr:row>6</xdr:row>
                <xdr:rowOff>228600</xdr:rowOff>
              </to>
            </anchor>
          </controlPr>
        </control>
      </mc:Choice>
      <mc:Fallback>
        <control shapeId="4133" r:id="rId25" name="OptionButton15"/>
      </mc:Fallback>
    </mc:AlternateContent>
    <mc:AlternateContent xmlns:mc="http://schemas.openxmlformats.org/markup-compatibility/2006">
      <mc:Choice Requires="x14">
        <control shapeId="4098" r:id="rId26" name="Spinner 2">
          <controlPr locked="0" defaultSize="0" autoPict="0">
            <anchor moveWithCells="1" sizeWithCells="1">
              <from>
                <xdr:col>52</xdr:col>
                <xdr:colOff>38100</xdr:colOff>
                <xdr:row>2</xdr:row>
                <xdr:rowOff>0</xdr:rowOff>
              </from>
              <to>
                <xdr:col>53</xdr:col>
                <xdr:colOff>47625</xdr:colOff>
                <xdr:row>3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099" r:id="rId27" name="Spinner 3">
          <controlPr locked="0" defaultSize="0" autoPict="0">
            <anchor moveWithCells="1" sizeWithCells="1">
              <from>
                <xdr:col>52</xdr:col>
                <xdr:colOff>38100</xdr:colOff>
                <xdr:row>3</xdr:row>
                <xdr:rowOff>0</xdr:rowOff>
              </from>
              <to>
                <xdr:col>53</xdr:col>
                <xdr:colOff>47625</xdr:colOff>
                <xdr:row>4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0" r:id="rId28" name="Spinner 4">
          <controlPr locked="0" defaultSize="0" autoPict="0">
            <anchor moveWithCells="1" sizeWithCells="1">
              <from>
                <xdr:col>52</xdr:col>
                <xdr:colOff>38100</xdr:colOff>
                <xdr:row>4</xdr:row>
                <xdr:rowOff>9525</xdr:rowOff>
              </from>
              <to>
                <xdr:col>53</xdr:col>
                <xdr:colOff>47625</xdr:colOff>
                <xdr:row>5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1" r:id="rId29" name="Drop Down 5">
          <controlPr locked="0" defaultSize="0" autoLine="0" autoPict="0">
            <anchor moveWithCells="1">
              <from>
                <xdr:col>16</xdr:col>
                <xdr:colOff>133350</xdr:colOff>
                <xdr:row>8</xdr:row>
                <xdr:rowOff>19050</xdr:rowOff>
              </from>
              <to>
                <xdr:col>21</xdr:col>
                <xdr:colOff>123825</xdr:colOff>
                <xdr:row>8</xdr:row>
                <xdr:rowOff>219075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30" name="Spinner 7">
          <controlPr locked="0" defaultSize="0" autoPict="0">
            <anchor moveWithCells="1" sizeWithCells="1">
              <from>
                <xdr:col>65</xdr:col>
                <xdr:colOff>47625</xdr:colOff>
                <xdr:row>11</xdr:row>
                <xdr:rowOff>0</xdr:rowOff>
              </from>
              <to>
                <xdr:col>66</xdr:col>
                <xdr:colOff>57150</xdr:colOff>
                <xdr:row>12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4" r:id="rId31" name="Spinner 8">
          <controlPr locked="0" defaultSize="0" autoPict="0">
            <anchor moveWithCells="1" sizeWithCells="1">
              <from>
                <xdr:col>52</xdr:col>
                <xdr:colOff>38100</xdr:colOff>
                <xdr:row>11</xdr:row>
                <xdr:rowOff>0</xdr:rowOff>
              </from>
              <to>
                <xdr:col>53</xdr:col>
                <xdr:colOff>47625</xdr:colOff>
                <xdr:row>12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32" name="Option Button 9">
          <controlPr locked="0" defaultSize="0" autoFill="0" autoLine="0" autoPict="0">
            <anchor moveWithCells="1">
              <from>
                <xdr:col>46</xdr:col>
                <xdr:colOff>66675</xdr:colOff>
                <xdr:row>11</xdr:row>
                <xdr:rowOff>19050</xdr:rowOff>
              </from>
              <to>
                <xdr:col>48</xdr:col>
                <xdr:colOff>38100</xdr:colOff>
                <xdr:row>11</xdr:row>
                <xdr:rowOff>219075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33" name="Drop Down 11">
          <controlPr locked="0" defaultSize="0" autoLine="0" autoPict="0">
            <anchor moveWithCells="1">
              <from>
                <xdr:col>46</xdr:col>
                <xdr:colOff>133350</xdr:colOff>
                <xdr:row>5</xdr:row>
                <xdr:rowOff>38100</xdr:rowOff>
              </from>
              <to>
                <xdr:col>53</xdr:col>
                <xdr:colOff>57150</xdr:colOff>
                <xdr:row>5</xdr:row>
                <xdr:rowOff>228600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2" r:id="rId34" name="Option Button 16">
          <controlPr locked="0" defaultSize="0" autoFill="0" autoLine="0" autoPict="0">
            <anchor moveWithCells="1">
              <from>
                <xdr:col>46</xdr:col>
                <xdr:colOff>66675</xdr:colOff>
                <xdr:row>9</xdr:row>
                <xdr:rowOff>9525</xdr:rowOff>
              </from>
              <to>
                <xdr:col>48</xdr:col>
                <xdr:colOff>66675</xdr:colOff>
                <xdr:row>9</xdr:row>
                <xdr:rowOff>228600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34" r:id="rId35" name="Spinner 38">
          <controlPr locked="0" defaultSize="0" autoPict="0">
            <anchor moveWithCells="1" sizeWithCells="1">
              <from>
                <xdr:col>65</xdr:col>
                <xdr:colOff>38100</xdr:colOff>
                <xdr:row>5</xdr:row>
                <xdr:rowOff>0</xdr:rowOff>
              </from>
              <to>
                <xdr:col>66</xdr:col>
                <xdr:colOff>47625</xdr:colOff>
                <xdr:row>6</xdr:row>
                <xdr:rowOff>0</xdr:rowOff>
              </to>
            </anchor>
          </controlPr>
        </control>
      </mc:Choice>
    </mc:AlternateContent>
  </control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3" operator="between" id="{1E042BCC-D221-4588-8D2F-3E0DC58CAEB2}">
            <xm:f>'Material+Limits'!$K$12</xm:f>
            <xm:f>'Material+Limits'!$L$12</xm:f>
            <x14:dxf>
              <font>
                <b val="0"/>
                <i val="0"/>
                <color theme="1"/>
              </font>
            </x14:dxf>
          </x14:cfRule>
          <xm:sqref>AW12</xm:sqref>
        </x14:conditionalFormatting>
        <x14:conditionalFormatting xmlns:xm="http://schemas.microsoft.com/office/excel/2006/main">
          <x14:cfRule type="cellIs" priority="16" operator="between" id="{89FB7918-FAA4-49B6-A045-4B1FBF4AE652}">
            <xm:f>'Material+Limits'!$K$10</xm:f>
            <xm:f>'Material+Limits'!$L$10</xm:f>
            <x14:dxf>
              <font>
                <b val="0"/>
                <i val="0"/>
                <color theme="1"/>
              </font>
            </x14:dxf>
          </x14:cfRule>
          <xm:sqref>AW4</xm:sqref>
        </x14:conditionalFormatting>
        <x14:conditionalFormatting xmlns:xm="http://schemas.microsoft.com/office/excel/2006/main">
          <x14:cfRule type="cellIs" priority="19" operator="between" id="{436034B1-42EB-4F76-914D-42318C1C8530}">
            <xm:f>'Material+Limits'!$K$11</xm:f>
            <xm:f>'Material+Limits'!$L$11</xm:f>
            <x14:dxf>
              <font>
                <b val="0"/>
                <i val="0"/>
                <color theme="1"/>
              </font>
            </x14:dxf>
          </x14:cfRule>
          <xm:sqref>AW5</xm:sqref>
        </x14:conditionalFormatting>
        <x14:conditionalFormatting xmlns:xm="http://schemas.microsoft.com/office/excel/2006/main">
          <x14:cfRule type="cellIs" priority="22" operator="between" id="{0AB460BC-0AC5-4F18-8C4A-B7E96AE9DCF2}">
            <xm:f>'Material+Limits'!$K$9</xm:f>
            <xm:f>'Material+Limits'!$L$9</xm:f>
            <x14:dxf>
              <font>
                <b val="0"/>
                <i val="0"/>
                <color theme="1"/>
              </font>
            </x14:dxf>
          </x14:cfRule>
          <xm:sqref>AW3</xm:sqref>
        </x14:conditionalFormatting>
        <x14:conditionalFormatting xmlns:xm="http://schemas.microsoft.com/office/excel/2006/main">
          <x14:cfRule type="cellIs" priority="24" operator="between" id="{0C71825F-C606-4354-A8D8-516B7B1FAB68}">
            <xm:f>'Material+Limits'!$K$13</xm:f>
            <xm:f>'Material+Limits'!$L$13</xm:f>
            <x14:dxf>
              <font>
                <b val="0"/>
                <i val="0"/>
                <color theme="1"/>
              </font>
            </x14:dxf>
          </x14:cfRule>
          <xm:sqref>BJ12</xm:sqref>
        </x14:conditionalFormatting>
        <x14:conditionalFormatting xmlns:xm="http://schemas.microsoft.com/office/excel/2006/main">
          <x14:cfRule type="cellIs" priority="25" operator="between" id="{CF52889A-7B25-4A38-B280-C54F19B64B36}">
            <xm:f>'Material+Limits'!$K$13</xm:f>
            <xm:f>'Material+Limits'!$L$13</xm:f>
            <x14:dxf>
              <font>
                <b val="0"/>
                <i val="0"/>
                <color theme="0"/>
              </font>
            </x14:dxf>
          </x14:cfRule>
          <xm:sqref>BJ10:BJ11</xm:sqref>
        </x14:conditionalFormatting>
        <x14:conditionalFormatting xmlns:xm="http://schemas.microsoft.com/office/excel/2006/main">
          <x14:cfRule type="cellIs" priority="26" operator="between" id="{CAE2C86D-ADFA-4491-B3F2-F2EC1937A132}">
            <xm:f>'Material+Limits'!$K$12</xm:f>
            <xm:f>'Material+Limits'!$L$12</xm:f>
            <x14:dxf>
              <font>
                <color theme="0" tint="-4.9989318521683403E-2"/>
              </font>
            </x14:dxf>
          </x14:cfRule>
          <xm:sqref>AW10:AZ11</xm:sqref>
        </x14:conditionalFormatting>
        <x14:conditionalFormatting xmlns:xm="http://schemas.microsoft.com/office/excel/2006/main">
          <x14:cfRule type="cellIs" priority="1" operator="between" id="{3AACB5B2-2D4C-470B-B999-1A49F2B7F047}">
            <xm:f>'Material+Limits'!$K$14</xm:f>
            <xm:f>'Material+Limits'!$L$14</xm:f>
            <x14:dxf>
              <font>
                <b val="0"/>
                <i val="0"/>
                <color theme="1"/>
              </font>
            </x14:dxf>
          </x14:cfRule>
          <xm:sqref>BJ6:BM6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whole" allowBlank="1" showInputMessage="1" showErrorMessage="1" errorTitle="Nicht möglich! / Invalid value!" error="Wert überschreitet die angegebenen Grenzen oder ist nicht numerisch._x000a_Value either exceeds limits or is not numeric.">
          <x14:formula1>
            <xm:f>'Material+Limits'!K13</xm:f>
          </x14:formula1>
          <x14:formula2>
            <xm:f>'Material+Limits'!L13</xm:f>
          </x14:formula2>
          <xm:sqref>BJ12:BM13</xm:sqref>
        </x14:dataValidation>
        <x14:dataValidation type="decimal" allowBlank="1" showInputMessage="1" showErrorMessage="1" errorTitle="Nicht möglich! / Invalid value!" error="Wert überschreitet die angegebenen Grenzen oder ist nicht numerisch._x000a_Value either exceeds limits or is not numeric.">
          <x14:formula1>
            <xm:f>'Material+Limits'!K12</xm:f>
          </x14:formula1>
          <x14:formula2>
            <xm:f>'Material+Limits'!L12</xm:f>
          </x14:formula2>
          <xm:sqref>AW12:AZ13</xm:sqref>
        </x14:dataValidation>
        <x14:dataValidation type="decimal" allowBlank="1" showErrorMessage="1" errorTitle="Nicht möglich! / Invalid value!" error="Wert überschreitet die angegebenen Grenzen oder ist nicht numerisch._x000a_Value either exceeds limits or is not numeric." promptTitle="Bitte Werteingabe korrigieren" prompt="Bitte den Wertebereich nicht verlassen">
          <x14:formula1>
            <xm:f>'Material+Limits'!K14</xm:f>
          </x14:formula1>
          <x14:formula2>
            <xm:f>'Material+Limits'!L14</xm:f>
          </x14:formula2>
          <xm:sqref>BJ6:BM6</xm:sqref>
        </x14:dataValidation>
        <x14:dataValidation type="decimal" allowBlank="1" showInputMessage="1" showErrorMessage="1" errorTitle="Nicht möglich! / Invalid value!" error="Wert überschreitet die angegebenen Grenzen oder ist nicht numerisch._x000a_Value either exceeds limits or is not numeric.">
          <x14:formula1>
            <xm:f>'Material+Limits'!K9</xm:f>
          </x14:formula1>
          <x14:formula2>
            <xm:f>'Material+Limits'!L9</xm:f>
          </x14:formula2>
          <xm:sqref>AW3:AZ4</xm:sqref>
        </x14:dataValidation>
        <x14:dataValidation type="decimal" allowBlank="1" showErrorMessage="1" errorTitle="Nicht möglich! / Invalid value!" error="Wert überschreitet die angegebenen Grenzen oder ist nicht numerisch._x000a_Value either exceeds limits or is not numeric._x000a_" promptTitle="Bitte Werteingabe korrigieren" prompt="Bitte den Wertebereich nicht verlassen">
          <x14:formula1>
            <xm:f>'Material+Limits'!K11</xm:f>
          </x14:formula1>
          <x14:formula2>
            <xm:f>'Material+Limits'!L11</xm:f>
          </x14:formula2>
          <xm:sqref>AW5:AZ5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1"/>
  <dimension ref="A1:AV400"/>
  <sheetViews>
    <sheetView topLeftCell="AF1" zoomScale="90" zoomScaleNormal="90" workbookViewId="0">
      <pane ySplit="1" topLeftCell="A30" activePane="bottomLeft" state="frozen"/>
      <selection pane="bottomLeft" activeCell="AN1" sqref="AN1"/>
    </sheetView>
  </sheetViews>
  <sheetFormatPr baseColWidth="10" defaultRowHeight="15" x14ac:dyDescent="0.25"/>
  <cols>
    <col min="1" max="2" width="6.5703125" customWidth="1"/>
    <col min="3" max="3" width="8.7109375" style="79" customWidth="1"/>
    <col min="4" max="4" width="6.5703125" style="39" customWidth="1"/>
    <col min="5" max="5" width="8.7109375" style="184" customWidth="1"/>
    <col min="6" max="9" width="6.5703125" style="185" customWidth="1"/>
    <col min="10" max="10" width="6.5703125" style="155" customWidth="1"/>
    <col min="11" max="13" width="6.5703125" style="164" customWidth="1"/>
    <col min="14" max="14" width="6.5703125" style="157" customWidth="1"/>
    <col min="15" max="15" width="8.5703125" style="169" customWidth="1"/>
    <col min="16" max="16" width="7.85546875" style="170" customWidth="1"/>
    <col min="17" max="17" width="7.7109375" style="170" customWidth="1"/>
    <col min="18" max="18" width="10.5703125" style="170" customWidth="1"/>
    <col min="19" max="19" width="14.7109375" style="16" hidden="1" customWidth="1"/>
    <col min="20" max="20" width="28.28515625" style="3" bestFit="1" customWidth="1"/>
    <col min="21" max="21" width="5.7109375" customWidth="1"/>
    <col min="22" max="22" width="3.85546875" style="3" customWidth="1"/>
    <col min="23" max="23" width="16" customWidth="1"/>
    <col min="24" max="24" width="0" hidden="1" customWidth="1"/>
    <col min="25" max="25" width="11.42578125" hidden="1" customWidth="1"/>
    <col min="26" max="26" width="6.5703125" style="2" bestFit="1" customWidth="1"/>
    <col min="27" max="27" width="6.5703125" bestFit="1" customWidth="1"/>
    <col min="28" max="28" width="0" hidden="1" customWidth="1"/>
    <col min="29" max="30" width="6.5703125" bestFit="1" customWidth="1"/>
    <col min="31" max="31" width="14.42578125" style="4" customWidth="1"/>
    <col min="32" max="32" width="12.85546875" style="2" customWidth="1"/>
    <col min="33" max="33" width="8" customWidth="1"/>
    <col min="34" max="34" width="21.7109375" style="1" customWidth="1"/>
    <col min="35" max="35" width="21.7109375" style="4" customWidth="1"/>
    <col min="36" max="36" width="17.7109375" style="8" customWidth="1"/>
    <col min="37" max="37" width="11" style="7" bestFit="1" customWidth="1"/>
    <col min="38" max="38" width="13.7109375" style="3" customWidth="1"/>
    <col min="39" max="39" width="38.28515625" bestFit="1" customWidth="1"/>
    <col min="40" max="40" width="23" style="1" customWidth="1"/>
    <col min="41" max="41" width="13.7109375" style="1" customWidth="1"/>
    <col min="42" max="43" width="17" customWidth="1"/>
    <col min="44" max="44" width="13.28515625" style="11" customWidth="1"/>
    <col min="45" max="45" width="39.85546875" style="12" bestFit="1" customWidth="1"/>
    <col min="46" max="46" width="11" style="2" bestFit="1" customWidth="1"/>
    <col min="47" max="48" width="6.5703125" style="2" bestFit="1" customWidth="1"/>
    <col min="49" max="49" width="7.5703125" customWidth="1"/>
    <col min="50" max="50" width="11.85546875" customWidth="1"/>
  </cols>
  <sheetData>
    <row r="1" spans="1:48" ht="96.75" thickBot="1" x14ac:dyDescent="0.3">
      <c r="A1" s="43" t="s">
        <v>173</v>
      </c>
      <c r="B1" s="45" t="s">
        <v>175</v>
      </c>
      <c r="C1" s="80" t="s">
        <v>164</v>
      </c>
      <c r="D1" s="43" t="s">
        <v>171</v>
      </c>
      <c r="E1" s="183" t="s">
        <v>169</v>
      </c>
      <c r="F1" s="183" t="s">
        <v>168</v>
      </c>
      <c r="G1" s="183" t="s">
        <v>167</v>
      </c>
      <c r="H1" s="183" t="s">
        <v>166</v>
      </c>
      <c r="I1" s="183" t="s">
        <v>165</v>
      </c>
      <c r="J1" s="150" t="s">
        <v>160</v>
      </c>
      <c r="K1" s="151" t="s">
        <v>161</v>
      </c>
      <c r="L1" s="151" t="s">
        <v>162</v>
      </c>
      <c r="M1" s="151" t="s">
        <v>163</v>
      </c>
      <c r="N1" s="151" t="s">
        <v>159</v>
      </c>
      <c r="O1" s="165" t="s">
        <v>60</v>
      </c>
      <c r="P1" s="166" t="s">
        <v>12</v>
      </c>
      <c r="Q1" s="166" t="s">
        <v>61</v>
      </c>
      <c r="R1" s="166" t="s">
        <v>63</v>
      </c>
      <c r="S1" s="42" t="s">
        <v>37</v>
      </c>
      <c r="T1" s="44" t="s">
        <v>0</v>
      </c>
      <c r="U1" s="41" t="s">
        <v>75</v>
      </c>
      <c r="V1" s="42" t="s">
        <v>76</v>
      </c>
      <c r="W1" s="43" t="s">
        <v>21</v>
      </c>
      <c r="X1" s="43" t="s">
        <v>107</v>
      </c>
      <c r="Y1" s="43" t="s">
        <v>101</v>
      </c>
      <c r="Z1" s="43" t="s">
        <v>68</v>
      </c>
      <c r="AA1" s="45" t="s">
        <v>69</v>
      </c>
      <c r="AB1" s="43" t="s">
        <v>70</v>
      </c>
      <c r="AC1" s="46" t="s">
        <v>71</v>
      </c>
      <c r="AD1" s="45" t="s">
        <v>72</v>
      </c>
      <c r="AE1" s="43" t="s">
        <v>4</v>
      </c>
      <c r="AF1" s="43" t="s">
        <v>16</v>
      </c>
      <c r="AG1" s="43" t="s">
        <v>73</v>
      </c>
      <c r="AH1" s="43" t="s">
        <v>74</v>
      </c>
      <c r="AI1" s="43" t="s">
        <v>9</v>
      </c>
      <c r="AJ1" s="43" t="s">
        <v>77</v>
      </c>
      <c r="AK1" s="43" t="s">
        <v>78</v>
      </c>
      <c r="AL1" s="45" t="s">
        <v>79</v>
      </c>
      <c r="AM1" s="145" t="s">
        <v>679</v>
      </c>
      <c r="AN1" s="146" t="s">
        <v>682</v>
      </c>
      <c r="AO1"/>
      <c r="AR1"/>
      <c r="AS1"/>
      <c r="AT1"/>
      <c r="AU1"/>
      <c r="AV1"/>
    </row>
    <row r="2" spans="1:48" x14ac:dyDescent="0.25">
      <c r="A2" t="str">
        <f ca="1">IF(E2+F2+G2+H2+I2+C2+D2=3,1,"")</f>
        <v/>
      </c>
      <c r="B2" t="str">
        <f t="shared" ref="B2:B65" ca="1" si="0">IF(F2+G2+H2+I2+D2+E2=2,1,"")</f>
        <v/>
      </c>
      <c r="C2" s="79">
        <f>IF('Material+Limits'!$P$4=TRUE,1,0)</f>
        <v>0</v>
      </c>
      <c r="D2" s="39">
        <f>IF(Daten!$O2+Daten!$P2+Daten!$R2=3,1,0)</f>
        <v>0</v>
      </c>
      <c r="E2" s="184">
        <f ca="1">IF(AND('Material+Limits'!$Q$21=TRUE,Daten!N2=1)=TRUE,1,0)</f>
        <v>1</v>
      </c>
      <c r="F2" s="185">
        <f ca="1">IF(AND('Material+Limits'!$Q$25=TRUE,Daten!M2=1)=TRUE,1,0)</f>
        <v>0</v>
      </c>
      <c r="G2" s="185">
        <f ca="1">IF(AND('Material+Limits'!$Q$24=TRUE,Daten!L2=1)=TRUE,1,0)</f>
        <v>0</v>
      </c>
      <c r="H2" s="185">
        <f ca="1">IF(AND('Material+Limits'!$Q$23=TRUE,Daten!K2=1)=TRUE,1,0)</f>
        <v>0</v>
      </c>
      <c r="I2" s="185">
        <f ca="1">IF(AND('Material+Limits'!$Q$22=TRUE,Daten!J2=1)=TRUE,1,0)</f>
        <v>0</v>
      </c>
      <c r="J2" s="152">
        <f ca="1">IF(Daten!$U2=13,1,0)</f>
        <v>0</v>
      </c>
      <c r="K2" s="153">
        <f ca="1">IF(Daten!$U2&lt;&gt;Daten!$V2,1,IF(Daten!$U2=14,1,0))</f>
        <v>0</v>
      </c>
      <c r="L2" s="153">
        <f ca="1">IF(Daten!$U2&lt;&gt;Daten!$V2,1,IF(Daten!$U2=16,1,0))</f>
        <v>0</v>
      </c>
      <c r="M2" s="153">
        <f ca="1">IF(Daten!$V2=17,1,0)</f>
        <v>0</v>
      </c>
      <c r="N2" s="154">
        <f ca="1">IF(Daten!$W2=Sprache!$A$60,1,0)</f>
        <v>1</v>
      </c>
      <c r="O2" s="167">
        <f>IF(AND(Daten!$AK2&lt;=KINVARO!$AW$3,Daten!$AL2&gt;=KINVARO!$AW$3)=TRUE,1,0)</f>
        <v>1</v>
      </c>
      <c r="P2" s="168">
        <f>IF(AND(Daten!$Z2&lt;=KINVARO!$AW$4,Daten!$AA2&gt;=KINVARO!$AW$4)=TRUE,1,0)</f>
        <v>0</v>
      </c>
      <c r="Q2" s="168"/>
      <c r="R2" s="168">
        <f>IF(AND(Daten!$AC2&lt;='Material+Limits'!$I$58,Daten!$AD2&gt;='Material+Limits'!$I$58)=TRUE,1,0)</f>
        <v>1</v>
      </c>
      <c r="S2" s="48">
        <f ca="1">IF(Daten!$X2=Sprache!$A$125,1,0)</f>
        <v>1</v>
      </c>
      <c r="T2" s="50" t="str">
        <f ca="1">Sprache!$A$50</f>
        <v>Podnośnik L-80</v>
      </c>
      <c r="U2" s="47">
        <f ca="1">Sprache!$A$64</f>
        <v>0</v>
      </c>
      <c r="V2" s="48">
        <f ca="1">Sprache!$A$64</f>
        <v>0</v>
      </c>
      <c r="W2" s="49" t="str">
        <f ca="1">Sprache!$A$60</f>
        <v>Front lity (drewno/płyta)</v>
      </c>
      <c r="X2" s="49">
        <f ca="1">Sprache!$A$126</f>
        <v>0</v>
      </c>
      <c r="Y2" s="49">
        <f ca="1">Sprache!$A$96</f>
        <v>0</v>
      </c>
      <c r="Z2" s="49">
        <v>350</v>
      </c>
      <c r="AA2" s="50">
        <v>369</v>
      </c>
      <c r="AB2" s="49"/>
      <c r="AC2" s="51">
        <v>2.5</v>
      </c>
      <c r="AD2" s="52">
        <v>6.5</v>
      </c>
      <c r="AE2" s="49" t="s">
        <v>765</v>
      </c>
      <c r="AF2" s="49" t="str">
        <f ca="1">Sprache!$A$101</f>
        <v>Zestaw (prawy+lewy)</v>
      </c>
      <c r="AG2" s="49" t="str">
        <f ca="1">Sprache!$A$103</f>
        <v>Ramię Typ 1</v>
      </c>
      <c r="AH2" s="49" t="str">
        <f ca="1">Sprache!$A$110</f>
        <v>Siłownik A</v>
      </c>
      <c r="AI2" s="49" t="s">
        <v>26</v>
      </c>
      <c r="AJ2" s="49" t="s">
        <v>26</v>
      </c>
      <c r="AK2" s="49">
        <v>450</v>
      </c>
      <c r="AL2" s="50">
        <v>1200</v>
      </c>
      <c r="AM2" s="30"/>
      <c r="AN2" s="24"/>
      <c r="AO2"/>
      <c r="AR2"/>
      <c r="AS2"/>
      <c r="AT2"/>
      <c r="AU2"/>
      <c r="AV2"/>
    </row>
    <row r="3" spans="1:48" x14ac:dyDescent="0.25">
      <c r="A3" t="str">
        <f t="shared" ref="A3:A66" ca="1" si="1">IF(E3+F3+G3+H3+I3+C3+D3=3,1,"")</f>
        <v/>
      </c>
      <c r="B3" t="str">
        <f t="shared" ca="1" si="0"/>
        <v/>
      </c>
      <c r="C3" s="79">
        <f>IF('Material+Limits'!$P$4=TRUE,1,0)</f>
        <v>0</v>
      </c>
      <c r="D3" s="39">
        <f>IF(Daten!$O3+Daten!$P3+Daten!$R3=3,1,0)</f>
        <v>0</v>
      </c>
      <c r="E3" s="184">
        <f ca="1">IF(AND('Material+Limits'!$Q$21=TRUE,Daten!N3=1)=TRUE,1,0)</f>
        <v>1</v>
      </c>
      <c r="F3" s="185">
        <f ca="1">IF(AND('Material+Limits'!$Q$25=TRUE,Daten!M3=1)=TRUE,1,0)</f>
        <v>0</v>
      </c>
      <c r="G3" s="185">
        <f ca="1">IF(AND('Material+Limits'!$Q$24=TRUE,Daten!L3=1)=TRUE,1,0)</f>
        <v>0</v>
      </c>
      <c r="H3" s="185">
        <f ca="1">IF(AND('Material+Limits'!$Q$23=TRUE,Daten!K3=1)=TRUE,1,0)</f>
        <v>0</v>
      </c>
      <c r="I3" s="185">
        <f ca="1">IF(AND('Material+Limits'!$Q$22=TRUE,Daten!J3=1)=TRUE,1,0)</f>
        <v>0</v>
      </c>
      <c r="J3" s="155">
        <f ca="1">IF(Daten!$U3=13,1,0)</f>
        <v>0</v>
      </c>
      <c r="K3" s="156">
        <f ca="1">IF(Daten!$U3&lt;&gt;Daten!$V3,1,IF(Daten!$U3=14,1,0))</f>
        <v>0</v>
      </c>
      <c r="L3" s="156">
        <f ca="1">IF(Daten!$U3&lt;&gt;Daten!$V3,1,IF(Daten!$U3=16,1,0))</f>
        <v>0</v>
      </c>
      <c r="M3" s="156">
        <f ca="1">IF(Daten!$V3=17,1,0)</f>
        <v>0</v>
      </c>
      <c r="N3" s="157">
        <f ca="1">IF(Daten!$W3=Sprache!$A$60,1,0)</f>
        <v>1</v>
      </c>
      <c r="O3" s="169">
        <f>IF(AND(Daten!$AK3&lt;=KINVARO!$AW$3,Daten!$AL3&gt;=KINVARO!$AW$3)=TRUE,1,0)</f>
        <v>1</v>
      </c>
      <c r="P3" s="170">
        <f>IF(AND(Daten!$Z3&lt;=KINVARO!$AW$4,Daten!$AA3&gt;=KINVARO!$AW$4)=TRUE,1,0)</f>
        <v>0</v>
      </c>
      <c r="R3" s="170">
        <f>IF(AND(Daten!$AC3&lt;='Material+Limits'!$I$58,Daten!$AD3&gt;='Material+Limits'!$I$58)=TRUE,1,0)</f>
        <v>1</v>
      </c>
      <c r="S3" s="29">
        <f ca="1">IF(Daten!$X3=Sprache!$A$125,1,0)</f>
        <v>1</v>
      </c>
      <c r="T3" s="28" t="str">
        <f ca="1">Sprache!$A$50</f>
        <v>Podnośnik L-80</v>
      </c>
      <c r="U3" s="32">
        <f ca="1">Sprache!$A$64</f>
        <v>0</v>
      </c>
      <c r="V3" s="29">
        <f ca="1">Sprache!$A$64</f>
        <v>0</v>
      </c>
      <c r="W3" s="30" t="str">
        <f ca="1">Sprache!$A$60</f>
        <v>Front lity (drewno/płyta)</v>
      </c>
      <c r="X3" s="30">
        <f ca="1">Sprache!$A$126</f>
        <v>0</v>
      </c>
      <c r="Y3" s="30">
        <f ca="1">Sprache!$A$96</f>
        <v>0</v>
      </c>
      <c r="Z3" s="30">
        <v>350</v>
      </c>
      <c r="AA3" s="28">
        <v>369</v>
      </c>
      <c r="AB3" s="30"/>
      <c r="AC3" s="31">
        <v>6</v>
      </c>
      <c r="AD3" s="53">
        <v>9.5</v>
      </c>
      <c r="AE3" s="30" t="s">
        <v>766</v>
      </c>
      <c r="AF3" s="30" t="str">
        <f ca="1">Sprache!$A$101</f>
        <v>Zestaw (prawy+lewy)</v>
      </c>
      <c r="AG3" s="30" t="str">
        <f ca="1">Sprache!$A$103</f>
        <v>Ramię Typ 1</v>
      </c>
      <c r="AH3" s="30" t="str">
        <f ca="1">Sprache!$A$111</f>
        <v>Siłownik B</v>
      </c>
      <c r="AI3" s="30" t="s">
        <v>26</v>
      </c>
      <c r="AJ3" s="30" t="s">
        <v>26</v>
      </c>
      <c r="AK3" s="30">
        <v>450</v>
      </c>
      <c r="AL3" s="28">
        <v>1200</v>
      </c>
      <c r="AM3" s="30"/>
      <c r="AN3" s="28"/>
      <c r="AO3"/>
      <c r="AR3"/>
      <c r="AS3"/>
      <c r="AT3"/>
      <c r="AU3"/>
      <c r="AV3"/>
    </row>
    <row r="4" spans="1:48" s="4" customFormat="1" x14ac:dyDescent="0.25">
      <c r="A4" t="str">
        <f t="shared" ca="1" si="1"/>
        <v/>
      </c>
      <c r="B4" t="str">
        <f t="shared" ca="1" si="0"/>
        <v/>
      </c>
      <c r="C4" s="79">
        <f>IF('Material+Limits'!$P$4=TRUE,1,0)</f>
        <v>0</v>
      </c>
      <c r="D4" s="39">
        <f>IF(Daten!$O4+Daten!$P4+Daten!$R4=3,1,0)</f>
        <v>0</v>
      </c>
      <c r="E4" s="184">
        <f ca="1">IF(AND('Material+Limits'!$Q$21=TRUE,Daten!N4=1)=TRUE,1,0)</f>
        <v>0</v>
      </c>
      <c r="F4" s="185">
        <f>IF(AND('Material+Limits'!$Q$25=TRUE,Daten!M4=1)=TRUE,1,0)</f>
        <v>0</v>
      </c>
      <c r="G4" s="185">
        <f>IF(AND('Material+Limits'!$Q$24=TRUE,Daten!L4=1)=TRUE,1,0)</f>
        <v>0</v>
      </c>
      <c r="H4" s="185">
        <f>IF(AND('Material+Limits'!$Q$23=TRUE,Daten!K4=1)=TRUE,1,0)</f>
        <v>0</v>
      </c>
      <c r="I4" s="185">
        <f>IF(AND('Material+Limits'!$Q$22=TRUE,Daten!J4=1)=TRUE,1,0)</f>
        <v>0</v>
      </c>
      <c r="J4" s="158">
        <f>IF(Daten!$U4=13,1,0)</f>
        <v>1</v>
      </c>
      <c r="K4" s="159">
        <f>IF(Daten!$U4&lt;&gt;Daten!$V4,1,IF(Daten!$U4=14,1,0))</f>
        <v>1</v>
      </c>
      <c r="L4" s="159">
        <f>IF(Daten!$U4&lt;&gt;Daten!$V4,1,IF(Daten!$U4=16,1,0))</f>
        <v>1</v>
      </c>
      <c r="M4" s="159">
        <f>IF(Daten!$V4=17,1,0)</f>
        <v>1</v>
      </c>
      <c r="N4" s="160">
        <f ca="1">IF(Daten!$W4=Sprache!$A$60,1,0)</f>
        <v>0</v>
      </c>
      <c r="O4" s="171">
        <f>IF(AND(Daten!$AK4&lt;=KINVARO!$AW$3,Daten!$AL4&gt;=KINVARO!$AW$3)=TRUE,1,0)</f>
        <v>1</v>
      </c>
      <c r="P4" s="172">
        <f>IF(AND(Daten!$Z4&lt;=KINVARO!$AW$4,Daten!$AA4&gt;=KINVARO!$AW$4)=TRUE,1,0)</f>
        <v>0</v>
      </c>
      <c r="Q4" s="172"/>
      <c r="R4" s="172">
        <f>IF(AND(Daten!$AC4&lt;='Material+Limits'!$I$58,Daten!$AD4&gt;='Material+Limits'!$I$58)=TRUE,1,0)</f>
        <v>1</v>
      </c>
      <c r="S4" s="23">
        <f ca="1">IF(Daten!$X4=Sprache!$A$125,1,0)</f>
        <v>1</v>
      </c>
      <c r="T4" s="24" t="str">
        <f ca="1">Sprache!$A$50</f>
        <v>Podnośnik L-80</v>
      </c>
      <c r="U4" s="27">
        <v>13</v>
      </c>
      <c r="V4" s="23">
        <v>17</v>
      </c>
      <c r="W4" s="25">
        <f ca="1">Sprache!$A$131</f>
        <v>0</v>
      </c>
      <c r="X4" s="25">
        <f ca="1">Sprache!$A$126</f>
        <v>0</v>
      </c>
      <c r="Y4" s="25">
        <f ca="1">Sprache!$A$96</f>
        <v>0</v>
      </c>
      <c r="Z4" s="25">
        <v>350</v>
      </c>
      <c r="AA4" s="24">
        <v>369</v>
      </c>
      <c r="AB4" s="25"/>
      <c r="AC4" s="26">
        <v>2.5</v>
      </c>
      <c r="AD4" s="54">
        <v>6.5</v>
      </c>
      <c r="AE4" s="25" t="s">
        <v>765</v>
      </c>
      <c r="AF4" s="25" t="str">
        <f ca="1">Sprache!$A$101</f>
        <v>Zestaw (prawy+lewy)</v>
      </c>
      <c r="AG4" s="25" t="str">
        <f ca="1">Sprache!$A$103</f>
        <v>Ramię Typ 1</v>
      </c>
      <c r="AH4" s="25" t="str">
        <f ca="1">Sprache!$A$110</f>
        <v>Siłownik A</v>
      </c>
      <c r="AI4" s="25" t="str">
        <f ca="1">Sprache!$A$133
                                                                                                                                                                                                                                                                Sprache!$A$133</f>
        <v>Adapter do ram aluminiowych, do Kinvaro L-80 zest.</v>
      </c>
      <c r="AJ4" s="25" t="s">
        <v>819</v>
      </c>
      <c r="AK4" s="25">
        <v>450</v>
      </c>
      <c r="AL4" s="24">
        <v>1200</v>
      </c>
      <c r="AM4" s="30"/>
      <c r="AN4" s="24"/>
    </row>
    <row r="5" spans="1:48" s="5" customFormat="1" x14ac:dyDescent="0.25">
      <c r="A5" t="str">
        <f t="shared" ca="1" si="1"/>
        <v/>
      </c>
      <c r="B5" t="str">
        <f t="shared" ca="1" si="0"/>
        <v/>
      </c>
      <c r="C5" s="79">
        <f>IF('Material+Limits'!$P$4=TRUE,1,0)</f>
        <v>0</v>
      </c>
      <c r="D5" s="39">
        <f>IF(Daten!$O5+Daten!$P5+Daten!$R5=3,1,0)</f>
        <v>0</v>
      </c>
      <c r="E5" s="184">
        <f ca="1">IF(AND('Material+Limits'!$Q$21=TRUE,Daten!N5=1)=TRUE,1,0)</f>
        <v>0</v>
      </c>
      <c r="F5" s="185">
        <f>IF(AND('Material+Limits'!$Q$25=TRUE,Daten!M5=1)=TRUE,1,0)</f>
        <v>0</v>
      </c>
      <c r="G5" s="185">
        <f>IF(AND('Material+Limits'!$Q$24=TRUE,Daten!L5=1)=TRUE,1,0)</f>
        <v>0</v>
      </c>
      <c r="H5" s="185">
        <f>IF(AND('Material+Limits'!$Q$23=TRUE,Daten!K5=1)=TRUE,1,0)</f>
        <v>0</v>
      </c>
      <c r="I5" s="185">
        <f>IF(AND('Material+Limits'!$Q$22=TRUE,Daten!J5=1)=TRUE,1,0)</f>
        <v>0</v>
      </c>
      <c r="J5" s="155">
        <f>IF(Daten!$U5=13,1,0)</f>
        <v>1</v>
      </c>
      <c r="K5" s="156">
        <f>IF(Daten!$U5&lt;&gt;Daten!$V5,1,IF(Daten!$U5=14,1,0))</f>
        <v>1</v>
      </c>
      <c r="L5" s="156">
        <f>IF(Daten!$U5&lt;&gt;Daten!$V5,1,IF(Daten!$U5=16,1,0))</f>
        <v>1</v>
      </c>
      <c r="M5" s="156">
        <f>IF(Daten!$V5=17,1,0)</f>
        <v>1</v>
      </c>
      <c r="N5" s="157">
        <f ca="1">IF(Daten!$W5=Sprache!$A$60,1,0)</f>
        <v>0</v>
      </c>
      <c r="O5" s="169">
        <f>IF(AND(Daten!$AK5&lt;=KINVARO!$AW$3,Daten!$AL5&gt;=KINVARO!$AW$3)=TRUE,1,0)</f>
        <v>1</v>
      </c>
      <c r="P5" s="170">
        <f>IF(AND(Daten!$Z5&lt;=KINVARO!$AW$4,Daten!$AA5&gt;=KINVARO!$AW$4)=TRUE,1,0)</f>
        <v>0</v>
      </c>
      <c r="Q5" s="170"/>
      <c r="R5" s="170">
        <f>IF(AND(Daten!$AC5&lt;='Material+Limits'!$I$58,Daten!$AD5&gt;='Material+Limits'!$I$58)=TRUE,1,0)</f>
        <v>1</v>
      </c>
      <c r="S5" s="29">
        <f ca="1">IF(Daten!$X5=Sprache!$A$125,1,0)</f>
        <v>1</v>
      </c>
      <c r="T5" s="28" t="str">
        <f ca="1">Sprache!$A$50</f>
        <v>Podnośnik L-80</v>
      </c>
      <c r="U5" s="32">
        <v>13</v>
      </c>
      <c r="V5" s="29">
        <v>17</v>
      </c>
      <c r="W5" s="30">
        <f ca="1">Sprache!$A$131</f>
        <v>0</v>
      </c>
      <c r="X5" s="30">
        <f ca="1">Sprache!$A$126</f>
        <v>0</v>
      </c>
      <c r="Y5" s="30">
        <f ca="1">Sprache!$A$96</f>
        <v>0</v>
      </c>
      <c r="Z5" s="30">
        <v>350</v>
      </c>
      <c r="AA5" s="28">
        <v>369</v>
      </c>
      <c r="AB5" s="30"/>
      <c r="AC5" s="31">
        <v>6</v>
      </c>
      <c r="AD5" s="53">
        <v>9.5</v>
      </c>
      <c r="AE5" s="30" t="s">
        <v>766</v>
      </c>
      <c r="AF5" s="30" t="str">
        <f ca="1">Sprache!$A$101</f>
        <v>Zestaw (prawy+lewy)</v>
      </c>
      <c r="AG5" s="30" t="str">
        <f ca="1">Sprache!$A$103</f>
        <v>Ramię Typ 1</v>
      </c>
      <c r="AH5" s="30" t="str">
        <f ca="1">Sprache!$A$111</f>
        <v>Siłownik B</v>
      </c>
      <c r="AI5" s="30" t="str">
        <f ca="1">Sprache!$A$133</f>
        <v>Adapter do ram aluminiowych, do Kinvaro L-80 zest.</v>
      </c>
      <c r="AJ5" s="30" t="s">
        <v>819</v>
      </c>
      <c r="AK5" s="30">
        <v>450</v>
      </c>
      <c r="AL5" s="28">
        <v>1200</v>
      </c>
      <c r="AM5" s="30"/>
      <c r="AN5" s="28"/>
    </row>
    <row r="6" spans="1:48" x14ac:dyDescent="0.25">
      <c r="A6" t="str">
        <f t="shared" ca="1" si="1"/>
        <v/>
      </c>
      <c r="B6" t="str">
        <f t="shared" ca="1" si="0"/>
        <v/>
      </c>
      <c r="C6" s="79">
        <f>IF('Material+Limits'!$P$4=TRUE,1,0)</f>
        <v>0</v>
      </c>
      <c r="D6" s="39">
        <f>IF(Daten!$O6+Daten!$P6+Daten!$R6=3,1,0)</f>
        <v>0</v>
      </c>
      <c r="E6" s="184">
        <f ca="1">IF(AND('Material+Limits'!$Q$21=TRUE,Daten!N6=1)=TRUE,1,0)</f>
        <v>1</v>
      </c>
      <c r="F6" s="185">
        <f ca="1">IF(AND('Material+Limits'!$Q$25=TRUE,Daten!M6=1)=TRUE,1,0)</f>
        <v>0</v>
      </c>
      <c r="G6" s="185">
        <f ca="1">IF(AND('Material+Limits'!$Q$24=TRUE,Daten!L6=1)=TRUE,1,0)</f>
        <v>0</v>
      </c>
      <c r="H6" s="185">
        <f ca="1">IF(AND('Material+Limits'!$Q$23=TRUE,Daten!K6=1)=TRUE,1,0)</f>
        <v>0</v>
      </c>
      <c r="I6" s="185">
        <f ca="1">IF(AND('Material+Limits'!$Q$22=TRUE,Daten!J6=1)=TRUE,1,0)</f>
        <v>0</v>
      </c>
      <c r="J6" s="158">
        <f ca="1">IF(Daten!$U6=13,1,0)</f>
        <v>0</v>
      </c>
      <c r="K6" s="159">
        <f ca="1">IF(Daten!$U6&lt;&gt;Daten!$V6,1,IF(Daten!$U6=14,1,0))</f>
        <v>0</v>
      </c>
      <c r="L6" s="159">
        <f ca="1">IF(Daten!$U6&lt;&gt;Daten!$V6,1,IF(Daten!$U6=16,1,0))</f>
        <v>0</v>
      </c>
      <c r="M6" s="159">
        <f ca="1">IF(Daten!$V6=17,1,0)</f>
        <v>0</v>
      </c>
      <c r="N6" s="160">
        <f ca="1">IF(Daten!$W6=Sprache!$A$60,1,0)</f>
        <v>1</v>
      </c>
      <c r="O6" s="173">
        <f>IF(AND(Daten!$AK6&lt;=KINVARO!$AW$3,Daten!$AL6&gt;=KINVARO!$AW$3)=TRUE,1,0)</f>
        <v>1</v>
      </c>
      <c r="P6" s="174">
        <f>IF(AND(Daten!$Z6&lt;=KINVARO!$AW$4,Daten!$AA6&gt;=KINVARO!$AW$4)=TRUE,1,0)</f>
        <v>0</v>
      </c>
      <c r="Q6" s="174"/>
      <c r="R6" s="174">
        <f>IF(AND(Daten!$AC6&lt;='Material+Limits'!$I$58,Daten!$AD6&gt;='Material+Limits'!$I$58)=TRUE,1,0)</f>
        <v>0</v>
      </c>
      <c r="S6" s="38">
        <f ca="1">IF(Daten!$X6=Sprache!$A$125,1,0)</f>
        <v>1</v>
      </c>
      <c r="T6" s="57" t="str">
        <f ca="1">Sprache!$A$50</f>
        <v>Podnośnik L-80</v>
      </c>
      <c r="U6" s="55">
        <f ca="1">Sprache!$A$64</f>
        <v>0</v>
      </c>
      <c r="V6" s="38">
        <f ca="1">Sprache!$A$64</f>
        <v>0</v>
      </c>
      <c r="W6" s="56" t="str">
        <f ca="1">Sprache!$A$60</f>
        <v>Front lity (drewno/płyta)</v>
      </c>
      <c r="X6" s="25">
        <f ca="1">Sprache!$A$126</f>
        <v>0</v>
      </c>
      <c r="Y6" s="56">
        <f ca="1">Sprache!$A$96</f>
        <v>0</v>
      </c>
      <c r="Z6" s="56">
        <v>370</v>
      </c>
      <c r="AA6" s="57">
        <v>389</v>
      </c>
      <c r="AB6" s="56"/>
      <c r="AC6" s="58">
        <v>2.2999999999999998</v>
      </c>
      <c r="AD6" s="59">
        <v>6</v>
      </c>
      <c r="AE6" s="56" t="s">
        <v>767</v>
      </c>
      <c r="AF6" s="56" t="str">
        <f ca="1">Sprache!$A$101</f>
        <v>Zestaw (prawy+lewy)</v>
      </c>
      <c r="AG6" s="56" t="str">
        <f ca="1">Sprache!$A$104</f>
        <v>Ramię Typ 2</v>
      </c>
      <c r="AH6" s="56" t="str">
        <f ca="1">Sprache!$A$110</f>
        <v>Siłownik A</v>
      </c>
      <c r="AI6" s="56" t="s">
        <v>26</v>
      </c>
      <c r="AJ6" s="56" t="s">
        <v>26</v>
      </c>
      <c r="AK6" s="56">
        <v>450</v>
      </c>
      <c r="AL6" s="57">
        <v>1200</v>
      </c>
      <c r="AM6" s="30"/>
      <c r="AN6" s="24"/>
      <c r="AO6"/>
      <c r="AR6"/>
      <c r="AS6"/>
      <c r="AT6"/>
      <c r="AU6"/>
      <c r="AV6"/>
    </row>
    <row r="7" spans="1:48" x14ac:dyDescent="0.25">
      <c r="A7" t="str">
        <f t="shared" ca="1" si="1"/>
        <v/>
      </c>
      <c r="B7" t="str">
        <f t="shared" ca="1" si="0"/>
        <v/>
      </c>
      <c r="C7" s="79">
        <f>IF('Material+Limits'!$P$4=TRUE,1,0)</f>
        <v>0</v>
      </c>
      <c r="D7" s="39">
        <f>IF(Daten!$O7+Daten!$P7+Daten!$R7=3,1,0)</f>
        <v>0</v>
      </c>
      <c r="E7" s="184">
        <f ca="1">IF(AND('Material+Limits'!$Q$21=TRUE,Daten!N7=1)=TRUE,1,0)</f>
        <v>1</v>
      </c>
      <c r="F7" s="185">
        <f ca="1">IF(AND('Material+Limits'!$Q$25=TRUE,Daten!M7=1)=TRUE,1,0)</f>
        <v>0</v>
      </c>
      <c r="G7" s="185">
        <f ca="1">IF(AND('Material+Limits'!$Q$24=TRUE,Daten!L7=1)=TRUE,1,0)</f>
        <v>0</v>
      </c>
      <c r="H7" s="185">
        <f ca="1">IF(AND('Material+Limits'!$Q$23=TRUE,Daten!K7=1)=TRUE,1,0)</f>
        <v>0</v>
      </c>
      <c r="I7" s="185">
        <f ca="1">IF(AND('Material+Limits'!$Q$22=TRUE,Daten!J7=1)=TRUE,1,0)</f>
        <v>0</v>
      </c>
      <c r="J7" s="155">
        <f ca="1">IF(Daten!$U7=13,1,0)</f>
        <v>0</v>
      </c>
      <c r="K7" s="156">
        <f ca="1">IF(Daten!$U7&lt;&gt;Daten!$V7,1,IF(Daten!$U7=14,1,0))</f>
        <v>0</v>
      </c>
      <c r="L7" s="156">
        <f ca="1">IF(Daten!$U7&lt;&gt;Daten!$V7,1,IF(Daten!$U7=16,1,0))</f>
        <v>0</v>
      </c>
      <c r="M7" s="156">
        <f ca="1">IF(Daten!$V7=17,1,0)</f>
        <v>0</v>
      </c>
      <c r="N7" s="157">
        <f ca="1">IF(Daten!$W7=Sprache!$A$60,1,0)</f>
        <v>1</v>
      </c>
      <c r="O7" s="169">
        <f>IF(AND(Daten!$AK7&lt;=KINVARO!$AW$3,Daten!$AL7&gt;=KINVARO!$AW$3)=TRUE,1,0)</f>
        <v>1</v>
      </c>
      <c r="P7" s="170">
        <f>IF(AND(Daten!$Z7&lt;=KINVARO!$AW$4,Daten!$AA7&gt;=KINVARO!$AW$4)=TRUE,1,0)</f>
        <v>0</v>
      </c>
      <c r="R7" s="170">
        <f>IF(AND(Daten!$AC7&lt;='Material+Limits'!$I$58,Daten!$AD7&gt;='Material+Limits'!$I$58)=TRUE,1,0)</f>
        <v>1</v>
      </c>
      <c r="S7" s="29">
        <f ca="1">IF(Daten!$X7=Sprache!$A$125,1,0)</f>
        <v>1</v>
      </c>
      <c r="T7" s="28" t="str">
        <f ca="1">Sprache!$A$50</f>
        <v>Podnośnik L-80</v>
      </c>
      <c r="U7" s="32">
        <f ca="1">Sprache!$A$64</f>
        <v>0</v>
      </c>
      <c r="V7" s="29">
        <f ca="1">Sprache!$A$64</f>
        <v>0</v>
      </c>
      <c r="W7" s="30" t="str">
        <f ca="1">Sprache!$A$60</f>
        <v>Front lity (drewno/płyta)</v>
      </c>
      <c r="X7" s="30">
        <f ca="1">Sprache!$A$126</f>
        <v>0</v>
      </c>
      <c r="Y7" s="30">
        <f ca="1">Sprache!$A$96</f>
        <v>0</v>
      </c>
      <c r="Z7" s="30">
        <v>370</v>
      </c>
      <c r="AA7" s="28">
        <v>389</v>
      </c>
      <c r="AB7" s="30"/>
      <c r="AC7" s="31">
        <v>5.5</v>
      </c>
      <c r="AD7" s="53">
        <v>9</v>
      </c>
      <c r="AE7" s="30" t="s">
        <v>768</v>
      </c>
      <c r="AF7" s="30" t="str">
        <f ca="1">Sprache!$A$101</f>
        <v>Zestaw (prawy+lewy)</v>
      </c>
      <c r="AG7" s="30" t="str">
        <f ca="1">Sprache!$A$104</f>
        <v>Ramię Typ 2</v>
      </c>
      <c r="AH7" s="30" t="str">
        <f ca="1">Sprache!$A$111</f>
        <v>Siłownik B</v>
      </c>
      <c r="AI7" s="30" t="s">
        <v>26</v>
      </c>
      <c r="AJ7" s="30" t="s">
        <v>26</v>
      </c>
      <c r="AK7" s="30">
        <v>450</v>
      </c>
      <c r="AL7" s="28">
        <v>1200</v>
      </c>
      <c r="AM7" s="30"/>
      <c r="AN7" s="28"/>
      <c r="AO7"/>
      <c r="AR7"/>
      <c r="AS7"/>
      <c r="AT7"/>
      <c r="AU7"/>
      <c r="AV7"/>
    </row>
    <row r="8" spans="1:48" x14ac:dyDescent="0.25">
      <c r="A8" t="str">
        <f t="shared" ca="1" si="1"/>
        <v/>
      </c>
      <c r="B8" t="str">
        <f t="shared" ca="1" si="0"/>
        <v/>
      </c>
      <c r="C8" s="79">
        <f>IF('Material+Limits'!$P$4=TRUE,1,0)</f>
        <v>0</v>
      </c>
      <c r="D8" s="39">
        <f>IF(Daten!$O8+Daten!$P8+Daten!$R8=3,1,0)</f>
        <v>0</v>
      </c>
      <c r="E8" s="184">
        <f ca="1">IF(AND('Material+Limits'!$Q$21=TRUE,Daten!N8=1)=TRUE,1,0)</f>
        <v>1</v>
      </c>
      <c r="F8" s="185">
        <f ca="1">IF(AND('Material+Limits'!$Q$25=TRUE,Daten!M8=1)=TRUE,1,0)</f>
        <v>0</v>
      </c>
      <c r="G8" s="185">
        <f ca="1">IF(AND('Material+Limits'!$Q$24=TRUE,Daten!L8=1)=TRUE,1,0)</f>
        <v>0</v>
      </c>
      <c r="H8" s="185">
        <f ca="1">IF(AND('Material+Limits'!$Q$23=TRUE,Daten!K8=1)=TRUE,1,0)</f>
        <v>0</v>
      </c>
      <c r="I8" s="185">
        <f ca="1">IF(AND('Material+Limits'!$Q$22=TRUE,Daten!J8=1)=TRUE,1,0)</f>
        <v>0</v>
      </c>
      <c r="J8" s="158">
        <f ca="1">IF(Daten!$U8=13,1,0)</f>
        <v>0</v>
      </c>
      <c r="K8" s="159">
        <f ca="1">IF(Daten!$U8&lt;&gt;Daten!$V8,1,IF(Daten!$U8=14,1,0))</f>
        <v>0</v>
      </c>
      <c r="L8" s="159">
        <f ca="1">IF(Daten!$U8&lt;&gt;Daten!$V8,1,IF(Daten!$U8=16,1,0))</f>
        <v>0</v>
      </c>
      <c r="M8" s="159">
        <f ca="1">IF(Daten!$V8=17,1,0)</f>
        <v>0</v>
      </c>
      <c r="N8" s="160">
        <f ca="1">IF(Daten!$W8=Sprache!$A$60,1,0)</f>
        <v>1</v>
      </c>
      <c r="O8" s="171">
        <f>IF(AND(Daten!$AK8&lt;=KINVARO!$AW$3,Daten!$AL8&gt;=KINVARO!$AW$3)=TRUE,1,0)</f>
        <v>1</v>
      </c>
      <c r="P8" s="172">
        <f>IF(AND(Daten!$Z8&lt;=KINVARO!$AW$4,Daten!$AA8&gt;=KINVARO!$AW$4)=TRUE,1,0)</f>
        <v>0</v>
      </c>
      <c r="Q8" s="172"/>
      <c r="R8" s="172">
        <f>IF(AND(Daten!$AC8&lt;='Material+Limits'!$I$58,Daten!$AD8&gt;='Material+Limits'!$I$58)=TRUE,1,0)</f>
        <v>0</v>
      </c>
      <c r="S8" s="23">
        <f ca="1">IF(Daten!$X8=Sprache!$A$125,1,0)</f>
        <v>1</v>
      </c>
      <c r="T8" s="24" t="str">
        <f ca="1">Sprache!$A$50</f>
        <v>Podnośnik L-80</v>
      </c>
      <c r="U8" s="27">
        <f ca="1">Sprache!$A$64</f>
        <v>0</v>
      </c>
      <c r="V8" s="23">
        <f ca="1">Sprache!$A$64</f>
        <v>0</v>
      </c>
      <c r="W8" s="25" t="str">
        <f ca="1">Sprache!$A$60</f>
        <v>Front lity (drewno/płyta)</v>
      </c>
      <c r="X8" s="25">
        <f ca="1">Sprache!$A$126</f>
        <v>0</v>
      </c>
      <c r="Y8" s="25">
        <f ca="1">Sprache!$A$96</f>
        <v>0</v>
      </c>
      <c r="Z8" s="25">
        <v>370</v>
      </c>
      <c r="AA8" s="24">
        <v>389</v>
      </c>
      <c r="AB8" s="25"/>
      <c r="AC8" s="26">
        <v>8.5</v>
      </c>
      <c r="AD8" s="54">
        <v>9.6</v>
      </c>
      <c r="AE8" s="25" t="s">
        <v>769</v>
      </c>
      <c r="AF8" s="25" t="str">
        <f ca="1">Sprache!$A$101</f>
        <v>Zestaw (prawy+lewy)</v>
      </c>
      <c r="AG8" s="25" t="str">
        <f ca="1">Sprache!$A$104</f>
        <v>Ramię Typ 2</v>
      </c>
      <c r="AH8" s="25" t="str">
        <f ca="1">Sprache!$A$112</f>
        <v>Siłownik C</v>
      </c>
      <c r="AI8" s="25" t="s">
        <v>26</v>
      </c>
      <c r="AJ8" s="25" t="s">
        <v>26</v>
      </c>
      <c r="AK8" s="25">
        <v>450</v>
      </c>
      <c r="AL8" s="24">
        <v>1200</v>
      </c>
      <c r="AM8" s="30"/>
      <c r="AN8" s="24"/>
      <c r="AO8"/>
      <c r="AR8"/>
      <c r="AS8"/>
      <c r="AT8"/>
      <c r="AU8"/>
      <c r="AV8"/>
    </row>
    <row r="9" spans="1:48" x14ac:dyDescent="0.25">
      <c r="A9" t="str">
        <f t="shared" ca="1" si="1"/>
        <v/>
      </c>
      <c r="B9" t="str">
        <f t="shared" ca="1" si="0"/>
        <v/>
      </c>
      <c r="C9" s="79">
        <f>IF('Material+Limits'!$P$4=TRUE,1,0)</f>
        <v>0</v>
      </c>
      <c r="D9" s="39">
        <f>IF(Daten!$O9+Daten!$P9+Daten!$R9=3,1,0)</f>
        <v>0</v>
      </c>
      <c r="E9" s="184">
        <f ca="1">IF(AND('Material+Limits'!$Q$21=TRUE,Daten!N9=1)=TRUE,1,0)</f>
        <v>0</v>
      </c>
      <c r="F9" s="185">
        <f>IF(AND('Material+Limits'!$Q$25=TRUE,Daten!M9=1)=TRUE,1,0)</f>
        <v>0</v>
      </c>
      <c r="G9" s="185">
        <f>IF(AND('Material+Limits'!$Q$24=TRUE,Daten!L9=1)=TRUE,1,0)</f>
        <v>0</v>
      </c>
      <c r="H9" s="185">
        <f>IF(AND('Material+Limits'!$Q$23=TRUE,Daten!K9=1)=TRUE,1,0)</f>
        <v>0</v>
      </c>
      <c r="I9" s="185">
        <f>IF(AND('Material+Limits'!$Q$22=TRUE,Daten!J9=1)=TRUE,1,0)</f>
        <v>0</v>
      </c>
      <c r="J9" s="155">
        <f>IF(Daten!$U9=13,1,0)</f>
        <v>1</v>
      </c>
      <c r="K9" s="156">
        <f>IF(Daten!$U9&lt;&gt;Daten!$V9,1,IF(Daten!$U9=14,1,0))</f>
        <v>1</v>
      </c>
      <c r="L9" s="156">
        <f>IF(Daten!$U9&lt;&gt;Daten!$V9,1,IF(Daten!$U9=16,1,0))</f>
        <v>1</v>
      </c>
      <c r="M9" s="156">
        <f>IF(Daten!$V9=17,1,0)</f>
        <v>1</v>
      </c>
      <c r="N9" s="157">
        <f ca="1">IF(Daten!$W9=Sprache!$A$60,1,0)</f>
        <v>0</v>
      </c>
      <c r="O9" s="169">
        <f>IF(AND(Daten!$AK9&lt;=KINVARO!$AW$3,Daten!$AL9&gt;=KINVARO!$AW$3)=TRUE,1,0)</f>
        <v>1</v>
      </c>
      <c r="P9" s="170">
        <f>IF(AND(Daten!$Z9&lt;=KINVARO!$AW$4,Daten!$AA9&gt;=KINVARO!$AW$4)=TRUE,1,0)</f>
        <v>0</v>
      </c>
      <c r="R9" s="170">
        <f>IF(AND(Daten!$AC9&lt;='Material+Limits'!$I$58,Daten!$AD9&gt;='Material+Limits'!$I$58)=TRUE,1,0)</f>
        <v>0</v>
      </c>
      <c r="S9" s="29">
        <f ca="1">IF(Daten!$X9=Sprache!$A$125,1,0)</f>
        <v>1</v>
      </c>
      <c r="T9" s="28" t="str">
        <f ca="1">Sprache!$A$50</f>
        <v>Podnośnik L-80</v>
      </c>
      <c r="U9" s="32">
        <v>13</v>
      </c>
      <c r="V9" s="29">
        <v>17</v>
      </c>
      <c r="W9" s="30">
        <f ca="1">Sprache!$A$131</f>
        <v>0</v>
      </c>
      <c r="X9" s="30">
        <f ca="1">Sprache!$A$126</f>
        <v>0</v>
      </c>
      <c r="Y9" s="30">
        <f ca="1">Sprache!$A$96</f>
        <v>0</v>
      </c>
      <c r="Z9" s="30">
        <v>370</v>
      </c>
      <c r="AA9" s="28">
        <v>389</v>
      </c>
      <c r="AB9" s="30"/>
      <c r="AC9" s="31">
        <v>2.2999999999999998</v>
      </c>
      <c r="AD9" s="53">
        <v>6</v>
      </c>
      <c r="AE9" s="30" t="s">
        <v>767</v>
      </c>
      <c r="AF9" s="30" t="str">
        <f ca="1">Sprache!$A$101</f>
        <v>Zestaw (prawy+lewy)</v>
      </c>
      <c r="AG9" s="30" t="str">
        <f ca="1">Sprache!$A$104</f>
        <v>Ramię Typ 2</v>
      </c>
      <c r="AH9" s="30" t="str">
        <f ca="1">Sprache!$A$110</f>
        <v>Siłownik A</v>
      </c>
      <c r="AI9" s="30" t="str">
        <f ca="1">Sprache!$A$133</f>
        <v>Adapter do ram aluminiowych, do Kinvaro L-80 zest.</v>
      </c>
      <c r="AJ9" s="30" t="s">
        <v>819</v>
      </c>
      <c r="AK9" s="30">
        <v>450</v>
      </c>
      <c r="AL9" s="28">
        <v>1200</v>
      </c>
      <c r="AM9" s="30"/>
      <c r="AN9" s="28"/>
      <c r="AO9"/>
      <c r="AR9"/>
      <c r="AS9"/>
      <c r="AT9"/>
      <c r="AU9"/>
      <c r="AV9"/>
    </row>
    <row r="10" spans="1:48" x14ac:dyDescent="0.25">
      <c r="A10" t="str">
        <f t="shared" ca="1" si="1"/>
        <v/>
      </c>
      <c r="B10" t="str">
        <f t="shared" ca="1" si="0"/>
        <v/>
      </c>
      <c r="C10" s="79">
        <f>IF('Material+Limits'!$P$4=TRUE,1,0)</f>
        <v>0</v>
      </c>
      <c r="D10" s="39">
        <f>IF(Daten!$O10+Daten!$P10+Daten!$R10=3,1,0)</f>
        <v>0</v>
      </c>
      <c r="E10" s="184">
        <f ca="1">IF(AND('Material+Limits'!$Q$21=TRUE,Daten!N10=1)=TRUE,1,0)</f>
        <v>0</v>
      </c>
      <c r="F10" s="185">
        <f>IF(AND('Material+Limits'!$Q$25=TRUE,Daten!M10=1)=TRUE,1,0)</f>
        <v>0</v>
      </c>
      <c r="G10" s="185">
        <f>IF(AND('Material+Limits'!$Q$24=TRUE,Daten!L10=1)=TRUE,1,0)</f>
        <v>0</v>
      </c>
      <c r="H10" s="185">
        <f>IF(AND('Material+Limits'!$Q$23=TRUE,Daten!K10=1)=TRUE,1,0)</f>
        <v>0</v>
      </c>
      <c r="I10" s="185">
        <f>IF(AND('Material+Limits'!$Q$22=TRUE,Daten!J10=1)=TRUE,1,0)</f>
        <v>0</v>
      </c>
      <c r="J10" s="158">
        <f>IF(Daten!$U10=13,1,0)</f>
        <v>1</v>
      </c>
      <c r="K10" s="159">
        <f>IF(Daten!$U10&lt;&gt;Daten!$V10,1,IF(Daten!$U10=14,1,0))</f>
        <v>1</v>
      </c>
      <c r="L10" s="159">
        <f>IF(Daten!$U10&lt;&gt;Daten!$V10,1,IF(Daten!$U10=16,1,0))</f>
        <v>1</v>
      </c>
      <c r="M10" s="159">
        <f>IF(Daten!$V10=17,1,0)</f>
        <v>1</v>
      </c>
      <c r="N10" s="160">
        <f ca="1">IF(Daten!$W10=Sprache!$A$60,1,0)</f>
        <v>0</v>
      </c>
      <c r="O10" s="171">
        <f>IF(AND(Daten!$AK10&lt;=KINVARO!$AW$3,Daten!$AL10&gt;=KINVARO!$AW$3)=TRUE,1,0)</f>
        <v>1</v>
      </c>
      <c r="P10" s="172">
        <f>IF(AND(Daten!$Z10&lt;=KINVARO!$AW$4,Daten!$AA10&gt;=KINVARO!$AW$4)=TRUE,1,0)</f>
        <v>0</v>
      </c>
      <c r="Q10" s="172"/>
      <c r="R10" s="172">
        <f>IF(AND(Daten!$AC10&lt;='Material+Limits'!$I$58,Daten!$AD10&gt;='Material+Limits'!$I$58)=TRUE,1,0)</f>
        <v>1</v>
      </c>
      <c r="S10" s="23">
        <f ca="1">IF(Daten!$X10=Sprache!$A$125,1,0)</f>
        <v>1</v>
      </c>
      <c r="T10" s="24" t="str">
        <f ca="1">Sprache!$A$50</f>
        <v>Podnośnik L-80</v>
      </c>
      <c r="U10" s="27">
        <v>13</v>
      </c>
      <c r="V10" s="23">
        <v>17</v>
      </c>
      <c r="W10" s="25">
        <f ca="1">Sprache!$A$131</f>
        <v>0</v>
      </c>
      <c r="X10" s="25">
        <f ca="1">Sprache!$A$126</f>
        <v>0</v>
      </c>
      <c r="Y10" s="25">
        <f ca="1">Sprache!$A$96</f>
        <v>0</v>
      </c>
      <c r="Z10" s="25">
        <v>370</v>
      </c>
      <c r="AA10" s="24">
        <v>389</v>
      </c>
      <c r="AB10" s="25"/>
      <c r="AC10" s="26">
        <v>5.5</v>
      </c>
      <c r="AD10" s="54">
        <v>9</v>
      </c>
      <c r="AE10" s="25" t="s">
        <v>768</v>
      </c>
      <c r="AF10" s="25" t="str">
        <f ca="1">Sprache!$A$101</f>
        <v>Zestaw (prawy+lewy)</v>
      </c>
      <c r="AG10" s="25" t="str">
        <f ca="1">Sprache!$A$104</f>
        <v>Ramię Typ 2</v>
      </c>
      <c r="AH10" s="25" t="str">
        <f ca="1">Sprache!$A$111</f>
        <v>Siłownik B</v>
      </c>
      <c r="AI10" s="25" t="str">
        <f ca="1">Sprache!$A$133</f>
        <v>Adapter do ram aluminiowych, do Kinvaro L-80 zest.</v>
      </c>
      <c r="AJ10" s="25" t="s">
        <v>819</v>
      </c>
      <c r="AK10" s="25">
        <v>450</v>
      </c>
      <c r="AL10" s="24">
        <v>1200</v>
      </c>
      <c r="AM10" s="30"/>
      <c r="AN10" s="24"/>
      <c r="AO10"/>
      <c r="AR10"/>
      <c r="AS10"/>
      <c r="AT10"/>
      <c r="AU10"/>
      <c r="AV10"/>
    </row>
    <row r="11" spans="1:48" s="5" customFormat="1" x14ac:dyDescent="0.25">
      <c r="A11" t="str">
        <f t="shared" ca="1" si="1"/>
        <v/>
      </c>
      <c r="B11" t="str">
        <f t="shared" ca="1" si="0"/>
        <v/>
      </c>
      <c r="C11" s="79">
        <f>IF('Material+Limits'!$P$4=TRUE,1,0)</f>
        <v>0</v>
      </c>
      <c r="D11" s="39">
        <f>IF(Daten!$O11+Daten!$P11+Daten!$R11=3,1,0)</f>
        <v>0</v>
      </c>
      <c r="E11" s="184">
        <f ca="1">IF(AND('Material+Limits'!$Q$21=TRUE,Daten!N11=1)=TRUE,1,0)</f>
        <v>0</v>
      </c>
      <c r="F11" s="185">
        <f>IF(AND('Material+Limits'!$Q$25=TRUE,Daten!M11=1)=TRUE,1,0)</f>
        <v>0</v>
      </c>
      <c r="G11" s="185">
        <f>IF(AND('Material+Limits'!$Q$24=TRUE,Daten!L11=1)=TRUE,1,0)</f>
        <v>0</v>
      </c>
      <c r="H11" s="185">
        <f>IF(AND('Material+Limits'!$Q$23=TRUE,Daten!K11=1)=TRUE,1,0)</f>
        <v>0</v>
      </c>
      <c r="I11" s="185">
        <f>IF(AND('Material+Limits'!$Q$22=TRUE,Daten!J11=1)=TRUE,1,0)</f>
        <v>0</v>
      </c>
      <c r="J11" s="155">
        <f>IF(Daten!$U11=13,1,0)</f>
        <v>1</v>
      </c>
      <c r="K11" s="156">
        <f>IF(Daten!$U11&lt;&gt;Daten!$V11,1,IF(Daten!$U11=14,1,0))</f>
        <v>1</v>
      </c>
      <c r="L11" s="156">
        <f>IF(Daten!$U11&lt;&gt;Daten!$V11,1,IF(Daten!$U11=16,1,0))</f>
        <v>1</v>
      </c>
      <c r="M11" s="156">
        <f>IF(Daten!$V11=17,1,0)</f>
        <v>1</v>
      </c>
      <c r="N11" s="157">
        <f ca="1">IF(Daten!$W11=Sprache!$A$60,1,0)</f>
        <v>0</v>
      </c>
      <c r="O11" s="169">
        <f>IF(AND(Daten!$AK11&lt;=KINVARO!$AW$3,Daten!$AL11&gt;=KINVARO!$AW$3)=TRUE,1,0)</f>
        <v>1</v>
      </c>
      <c r="P11" s="170">
        <f>IF(AND(Daten!$Z11&lt;=KINVARO!$AW$4,Daten!$AA11&gt;=KINVARO!$AW$4)=TRUE,1,0)</f>
        <v>0</v>
      </c>
      <c r="Q11" s="170"/>
      <c r="R11" s="170">
        <f>IF(AND(Daten!$AC11&lt;='Material+Limits'!$I$58,Daten!$AD11&gt;='Material+Limits'!$I$58)=TRUE,1,0)</f>
        <v>0</v>
      </c>
      <c r="S11" s="29">
        <f ca="1">IF(Daten!$X11=Sprache!$A$125,1,0)</f>
        <v>1</v>
      </c>
      <c r="T11" s="28" t="str">
        <f ca="1">Sprache!$A$50</f>
        <v>Podnośnik L-80</v>
      </c>
      <c r="U11" s="32">
        <v>13</v>
      </c>
      <c r="V11" s="29">
        <v>17</v>
      </c>
      <c r="W11" s="30">
        <f ca="1">Sprache!$A$131</f>
        <v>0</v>
      </c>
      <c r="X11" s="30">
        <f ca="1">Sprache!$A$126</f>
        <v>0</v>
      </c>
      <c r="Y11" s="30">
        <f ca="1">Sprache!$A$96</f>
        <v>0</v>
      </c>
      <c r="Z11" s="30">
        <v>370</v>
      </c>
      <c r="AA11" s="28">
        <v>389</v>
      </c>
      <c r="AB11" s="30"/>
      <c r="AC11" s="31">
        <v>8.5</v>
      </c>
      <c r="AD11" s="53">
        <v>9.6</v>
      </c>
      <c r="AE11" s="30" t="s">
        <v>769</v>
      </c>
      <c r="AF11" s="30" t="str">
        <f ca="1">Sprache!$A$101</f>
        <v>Zestaw (prawy+lewy)</v>
      </c>
      <c r="AG11" s="30" t="str">
        <f ca="1">Sprache!$A$104</f>
        <v>Ramię Typ 2</v>
      </c>
      <c r="AH11" s="30" t="str">
        <f ca="1">Sprache!$A$112</f>
        <v>Siłownik C</v>
      </c>
      <c r="AI11" s="30" t="str">
        <f ca="1">Sprache!$A$133</f>
        <v>Adapter do ram aluminiowych, do Kinvaro L-80 zest.</v>
      </c>
      <c r="AJ11" s="30" t="s">
        <v>819</v>
      </c>
      <c r="AK11" s="30">
        <v>450</v>
      </c>
      <c r="AL11" s="28">
        <v>1200</v>
      </c>
      <c r="AM11" s="30"/>
      <c r="AN11" s="28"/>
    </row>
    <row r="12" spans="1:48" x14ac:dyDescent="0.25">
      <c r="A12" t="str">
        <f t="shared" ca="1" si="1"/>
        <v/>
      </c>
      <c r="B12" t="str">
        <f t="shared" ca="1" si="0"/>
        <v/>
      </c>
      <c r="C12" s="79">
        <f>IF('Material+Limits'!$P$4=TRUE,1,0)</f>
        <v>0</v>
      </c>
      <c r="D12" s="39">
        <f>IF(Daten!$O12+Daten!$P12+Daten!$R12=3,1,0)</f>
        <v>0</v>
      </c>
      <c r="E12" s="184">
        <f ca="1">IF(AND('Material+Limits'!$Q$21=TRUE,Daten!N12=1)=TRUE,1,0)</f>
        <v>1</v>
      </c>
      <c r="F12" s="185">
        <f ca="1">IF(AND('Material+Limits'!$Q$25=TRUE,Daten!M12=1)=TRUE,1,0)</f>
        <v>0</v>
      </c>
      <c r="G12" s="185">
        <f ca="1">IF(AND('Material+Limits'!$Q$24=TRUE,Daten!L12=1)=TRUE,1,0)</f>
        <v>0</v>
      </c>
      <c r="H12" s="185">
        <f ca="1">IF(AND('Material+Limits'!$Q$23=TRUE,Daten!K12=1)=TRUE,1,0)</f>
        <v>0</v>
      </c>
      <c r="I12" s="185">
        <f ca="1">IF(AND('Material+Limits'!$Q$22=TRUE,Daten!J12=1)=TRUE,1,0)</f>
        <v>0</v>
      </c>
      <c r="J12" s="158">
        <f ca="1">IF(Daten!$U12=13,1,0)</f>
        <v>0</v>
      </c>
      <c r="K12" s="159">
        <f ca="1">IF(Daten!$U12&lt;&gt;Daten!$V12,1,IF(Daten!$U12=14,1,0))</f>
        <v>0</v>
      </c>
      <c r="L12" s="159">
        <f ca="1">IF(Daten!$U12&lt;&gt;Daten!$V12,1,IF(Daten!$U12=16,1,0))</f>
        <v>0</v>
      </c>
      <c r="M12" s="159">
        <f ca="1">IF(Daten!$V12=17,1,0)</f>
        <v>0</v>
      </c>
      <c r="N12" s="160">
        <f ca="1">IF(Daten!$W12=Sprache!$A$60,1,0)</f>
        <v>1</v>
      </c>
      <c r="O12" s="173">
        <f>IF(AND(Daten!$AK12&lt;=KINVARO!$AW$3,Daten!$AL12&gt;=KINVARO!$AW$3)=TRUE,1,0)</f>
        <v>1</v>
      </c>
      <c r="P12" s="174">
        <f>IF(AND(Daten!$Z12&lt;=KINVARO!$AW$4,Daten!$AA12&gt;=KINVARO!$AW$4)=TRUE,1,0)</f>
        <v>0</v>
      </c>
      <c r="Q12" s="174"/>
      <c r="R12" s="174">
        <f>IF(AND(Daten!$AC12&lt;='Material+Limits'!$I$58,Daten!$AD12&gt;='Material+Limits'!$I$58)=TRUE,1,0)</f>
        <v>0</v>
      </c>
      <c r="S12" s="38">
        <f ca="1">IF(Daten!$X12=Sprache!$A$125,1,0)</f>
        <v>1</v>
      </c>
      <c r="T12" s="57" t="str">
        <f ca="1">Sprache!$A$50</f>
        <v>Podnośnik L-80</v>
      </c>
      <c r="U12" s="55">
        <f ca="1">Sprache!$A$64</f>
        <v>0</v>
      </c>
      <c r="V12" s="38">
        <f ca="1">Sprache!$A$64</f>
        <v>0</v>
      </c>
      <c r="W12" s="56" t="str">
        <f ca="1">Sprache!$A$60</f>
        <v>Front lity (drewno/płyta)</v>
      </c>
      <c r="X12" s="25">
        <f ca="1">Sprache!$A$126</f>
        <v>0</v>
      </c>
      <c r="Y12" s="56">
        <f ca="1">Sprache!$A$96</f>
        <v>0</v>
      </c>
      <c r="Z12" s="56">
        <v>390</v>
      </c>
      <c r="AA12" s="57">
        <v>409</v>
      </c>
      <c r="AB12" s="56"/>
      <c r="AC12" s="58">
        <v>2.1</v>
      </c>
      <c r="AD12" s="59">
        <v>5.5</v>
      </c>
      <c r="AE12" s="56" t="s">
        <v>770</v>
      </c>
      <c r="AF12" s="56" t="str">
        <f ca="1">Sprache!$A$101</f>
        <v>Zestaw (prawy+lewy)</v>
      </c>
      <c r="AG12" s="56" t="str">
        <f ca="1">Sprache!$A$105</f>
        <v>Ramię Typ 3</v>
      </c>
      <c r="AH12" s="56" t="str">
        <f ca="1">Sprache!$A$110</f>
        <v>Siłownik A</v>
      </c>
      <c r="AI12" s="56" t="s">
        <v>26</v>
      </c>
      <c r="AJ12" s="56" t="s">
        <v>26</v>
      </c>
      <c r="AK12" s="56">
        <v>450</v>
      </c>
      <c r="AL12" s="57">
        <v>1200</v>
      </c>
      <c r="AM12" s="30"/>
      <c r="AN12" s="24"/>
      <c r="AO12"/>
      <c r="AR12"/>
      <c r="AS12"/>
      <c r="AT12"/>
      <c r="AU12"/>
      <c r="AV12"/>
    </row>
    <row r="13" spans="1:48" x14ac:dyDescent="0.25">
      <c r="A13" t="str">
        <f t="shared" ca="1" si="1"/>
        <v/>
      </c>
      <c r="B13" t="str">
        <f t="shared" ca="1" si="0"/>
        <v/>
      </c>
      <c r="C13" s="79">
        <f>IF('Material+Limits'!$P$4=TRUE,1,0)</f>
        <v>0</v>
      </c>
      <c r="D13" s="39">
        <f>IF(Daten!$O13+Daten!$P13+Daten!$R13=3,1,0)</f>
        <v>0</v>
      </c>
      <c r="E13" s="184">
        <f ca="1">IF(AND('Material+Limits'!$Q$21=TRUE,Daten!N13=1)=TRUE,1,0)</f>
        <v>1</v>
      </c>
      <c r="F13" s="185">
        <f ca="1">IF(AND('Material+Limits'!$Q$25=TRUE,Daten!M13=1)=TRUE,1,0)</f>
        <v>0</v>
      </c>
      <c r="G13" s="185">
        <f ca="1">IF(AND('Material+Limits'!$Q$24=TRUE,Daten!L13=1)=TRUE,1,0)</f>
        <v>0</v>
      </c>
      <c r="H13" s="185">
        <f ca="1">IF(AND('Material+Limits'!$Q$23=TRUE,Daten!K13=1)=TRUE,1,0)</f>
        <v>0</v>
      </c>
      <c r="I13" s="185">
        <f ca="1">IF(AND('Material+Limits'!$Q$22=TRUE,Daten!J13=1)=TRUE,1,0)</f>
        <v>0</v>
      </c>
      <c r="J13" s="155">
        <f ca="1">IF(Daten!$U13=13,1,0)</f>
        <v>0</v>
      </c>
      <c r="K13" s="156">
        <f ca="1">IF(Daten!$U13&lt;&gt;Daten!$V13,1,IF(Daten!$U13=14,1,0))</f>
        <v>0</v>
      </c>
      <c r="L13" s="156">
        <f ca="1">IF(Daten!$U13&lt;&gt;Daten!$V13,1,IF(Daten!$U13=16,1,0))</f>
        <v>0</v>
      </c>
      <c r="M13" s="156">
        <f ca="1">IF(Daten!$V13=17,1,0)</f>
        <v>0</v>
      </c>
      <c r="N13" s="157">
        <f ca="1">IF(Daten!$W13=Sprache!$A$60,1,0)</f>
        <v>1</v>
      </c>
      <c r="O13" s="169">
        <f>IF(AND(Daten!$AK13&lt;=KINVARO!$AW$3,Daten!$AL13&gt;=KINVARO!$AW$3)=TRUE,1,0)</f>
        <v>1</v>
      </c>
      <c r="P13" s="170">
        <f>IF(AND(Daten!$Z13&lt;=KINVARO!$AW$4,Daten!$AA13&gt;=KINVARO!$AW$4)=TRUE,1,0)</f>
        <v>0</v>
      </c>
      <c r="R13" s="170">
        <f>IF(AND(Daten!$AC13&lt;='Material+Limits'!$I$58,Daten!$AD13&gt;='Material+Limits'!$I$58)=TRUE,1,0)</f>
        <v>1</v>
      </c>
      <c r="S13" s="29">
        <f ca="1">IF(Daten!$X13=Sprache!$A$125,1,0)</f>
        <v>1</v>
      </c>
      <c r="T13" s="28" t="str">
        <f ca="1">Sprache!$A$50</f>
        <v>Podnośnik L-80</v>
      </c>
      <c r="U13" s="32">
        <f ca="1">Sprache!$A$64</f>
        <v>0</v>
      </c>
      <c r="V13" s="29">
        <f ca="1">Sprache!$A$64</f>
        <v>0</v>
      </c>
      <c r="W13" s="30" t="str">
        <f ca="1">Sprache!$A$60</f>
        <v>Front lity (drewno/płyta)</v>
      </c>
      <c r="X13" s="30">
        <f ca="1">Sprache!$A$126</f>
        <v>0</v>
      </c>
      <c r="Y13" s="30">
        <f ca="1">Sprache!$A$96</f>
        <v>0</v>
      </c>
      <c r="Z13" s="30">
        <v>390</v>
      </c>
      <c r="AA13" s="28">
        <v>409</v>
      </c>
      <c r="AB13" s="30"/>
      <c r="AC13" s="31">
        <v>5</v>
      </c>
      <c r="AD13" s="53">
        <v>8.5</v>
      </c>
      <c r="AE13" s="30" t="s">
        <v>771</v>
      </c>
      <c r="AF13" s="30" t="str">
        <f ca="1">Sprache!$A$101</f>
        <v>Zestaw (prawy+lewy)</v>
      </c>
      <c r="AG13" s="30" t="str">
        <f ca="1">Sprache!$A$105</f>
        <v>Ramię Typ 3</v>
      </c>
      <c r="AH13" s="30" t="str">
        <f ca="1">Sprache!$A$111</f>
        <v>Siłownik B</v>
      </c>
      <c r="AI13" s="30" t="s">
        <v>26</v>
      </c>
      <c r="AJ13" s="30" t="s">
        <v>26</v>
      </c>
      <c r="AK13" s="30">
        <v>450</v>
      </c>
      <c r="AL13" s="28">
        <v>1200</v>
      </c>
      <c r="AM13" s="30"/>
      <c r="AN13" s="28"/>
      <c r="AO13"/>
      <c r="AR13"/>
      <c r="AS13"/>
      <c r="AT13"/>
      <c r="AU13"/>
      <c r="AV13"/>
    </row>
    <row r="14" spans="1:48" x14ac:dyDescent="0.25">
      <c r="A14" t="str">
        <f t="shared" ca="1" si="1"/>
        <v/>
      </c>
      <c r="B14" t="str">
        <f t="shared" ca="1" si="0"/>
        <v/>
      </c>
      <c r="C14" s="79">
        <f>IF('Material+Limits'!$P$4=TRUE,1,0)</f>
        <v>0</v>
      </c>
      <c r="D14" s="39">
        <f>IF(Daten!$O14+Daten!$P14+Daten!$R14=3,1,0)</f>
        <v>0</v>
      </c>
      <c r="E14" s="184">
        <f ca="1">IF(AND('Material+Limits'!$Q$21=TRUE,Daten!N14=1)=TRUE,1,0)</f>
        <v>1</v>
      </c>
      <c r="F14" s="185">
        <f ca="1">IF(AND('Material+Limits'!$Q$25=TRUE,Daten!M14=1)=TRUE,1,0)</f>
        <v>0</v>
      </c>
      <c r="G14" s="185">
        <f ca="1">IF(AND('Material+Limits'!$Q$24=TRUE,Daten!L14=1)=TRUE,1,0)</f>
        <v>0</v>
      </c>
      <c r="H14" s="185">
        <f ca="1">IF(AND('Material+Limits'!$Q$23=TRUE,Daten!K14=1)=TRUE,1,0)</f>
        <v>0</v>
      </c>
      <c r="I14" s="185">
        <f ca="1">IF(AND('Material+Limits'!$Q$22=TRUE,Daten!J14=1)=TRUE,1,0)</f>
        <v>0</v>
      </c>
      <c r="J14" s="158">
        <f ca="1">IF(Daten!$U14=13,1,0)</f>
        <v>0</v>
      </c>
      <c r="K14" s="159">
        <f ca="1">IF(Daten!$U14&lt;&gt;Daten!$V14,1,IF(Daten!$U14=14,1,0))</f>
        <v>0</v>
      </c>
      <c r="L14" s="159">
        <f ca="1">IF(Daten!$U14&lt;&gt;Daten!$V14,1,IF(Daten!$U14=16,1,0))</f>
        <v>0</v>
      </c>
      <c r="M14" s="159">
        <f ca="1">IF(Daten!$V14=17,1,0)</f>
        <v>0</v>
      </c>
      <c r="N14" s="160">
        <f ca="1">IF(Daten!$W14=Sprache!$A$60,1,0)</f>
        <v>1</v>
      </c>
      <c r="O14" s="171">
        <f>IF(AND(Daten!$AK14&lt;=KINVARO!$AW$3,Daten!$AL14&gt;=KINVARO!$AW$3)=TRUE,1,0)</f>
        <v>1</v>
      </c>
      <c r="P14" s="172">
        <f>IF(AND(Daten!$Z14&lt;=KINVARO!$AW$4,Daten!$AA14&gt;=KINVARO!$AW$4)=TRUE,1,0)</f>
        <v>0</v>
      </c>
      <c r="Q14" s="172"/>
      <c r="R14" s="172">
        <f>IF(AND(Daten!$AC14&lt;='Material+Limits'!$I$58,Daten!$AD14&gt;='Material+Limits'!$I$58)=TRUE,1,0)</f>
        <v>0</v>
      </c>
      <c r="S14" s="23">
        <f ca="1">IF(Daten!$X14=Sprache!$A$125,1,0)</f>
        <v>1</v>
      </c>
      <c r="T14" s="24" t="str">
        <f ca="1">Sprache!$A$50</f>
        <v>Podnośnik L-80</v>
      </c>
      <c r="U14" s="27">
        <f ca="1">Sprache!$A$64</f>
        <v>0</v>
      </c>
      <c r="V14" s="23">
        <f ca="1">Sprache!$A$64</f>
        <v>0</v>
      </c>
      <c r="W14" s="25" t="str">
        <f ca="1">Sprache!$A$60</f>
        <v>Front lity (drewno/płyta)</v>
      </c>
      <c r="X14" s="25">
        <f ca="1">Sprache!$A$126</f>
        <v>0</v>
      </c>
      <c r="Y14" s="25">
        <f ca="1">Sprache!$A$96</f>
        <v>0</v>
      </c>
      <c r="Z14" s="25">
        <v>390</v>
      </c>
      <c r="AA14" s="24">
        <v>409</v>
      </c>
      <c r="AB14" s="25"/>
      <c r="AC14" s="26">
        <v>8</v>
      </c>
      <c r="AD14" s="54">
        <v>10.1</v>
      </c>
      <c r="AE14" s="25" t="s">
        <v>772</v>
      </c>
      <c r="AF14" s="25" t="str">
        <f ca="1">Sprache!$A$101</f>
        <v>Zestaw (prawy+lewy)</v>
      </c>
      <c r="AG14" s="25" t="str">
        <f ca="1">Sprache!$A$105</f>
        <v>Ramię Typ 3</v>
      </c>
      <c r="AH14" s="25" t="str">
        <f ca="1">Sprache!$A$112</f>
        <v>Siłownik C</v>
      </c>
      <c r="AI14" s="25" t="s">
        <v>26</v>
      </c>
      <c r="AJ14" s="25" t="s">
        <v>26</v>
      </c>
      <c r="AK14" s="25">
        <v>450</v>
      </c>
      <c r="AL14" s="24">
        <v>1200</v>
      </c>
      <c r="AM14" s="30"/>
      <c r="AN14" s="24"/>
      <c r="AO14"/>
      <c r="AR14"/>
      <c r="AS14"/>
      <c r="AT14"/>
      <c r="AU14"/>
      <c r="AV14"/>
    </row>
    <row r="15" spans="1:48" x14ac:dyDescent="0.25">
      <c r="A15" t="str">
        <f t="shared" ca="1" si="1"/>
        <v/>
      </c>
      <c r="B15" t="str">
        <f t="shared" ca="1" si="0"/>
        <v/>
      </c>
      <c r="C15" s="79">
        <f>IF('Material+Limits'!$P$4=TRUE,1,0)</f>
        <v>0</v>
      </c>
      <c r="D15" s="39">
        <f>IF(Daten!$O15+Daten!$P15+Daten!$R15=3,1,0)</f>
        <v>0</v>
      </c>
      <c r="E15" s="184">
        <f ca="1">IF(AND('Material+Limits'!$Q$21=TRUE,Daten!N15=1)=TRUE,1,0)</f>
        <v>0</v>
      </c>
      <c r="F15" s="185">
        <f>IF(AND('Material+Limits'!$Q$25=TRUE,Daten!M15=1)=TRUE,1,0)</f>
        <v>0</v>
      </c>
      <c r="G15" s="185">
        <f>IF(AND('Material+Limits'!$Q$24=TRUE,Daten!L15=1)=TRUE,1,0)</f>
        <v>0</v>
      </c>
      <c r="H15" s="185">
        <f>IF(AND('Material+Limits'!$Q$23=TRUE,Daten!K15=1)=TRUE,1,0)</f>
        <v>0</v>
      </c>
      <c r="I15" s="185">
        <f>IF(AND('Material+Limits'!$Q$22=TRUE,Daten!J15=1)=TRUE,1,0)</f>
        <v>0</v>
      </c>
      <c r="J15" s="155">
        <f>IF(Daten!$U15=13,1,0)</f>
        <v>1</v>
      </c>
      <c r="K15" s="156">
        <f>IF(Daten!$U15&lt;&gt;Daten!$V15,1,IF(Daten!$U15=14,1,0))</f>
        <v>1</v>
      </c>
      <c r="L15" s="156">
        <f>IF(Daten!$U15&lt;&gt;Daten!$V15,1,IF(Daten!$U15=16,1,0))</f>
        <v>1</v>
      </c>
      <c r="M15" s="156">
        <f>IF(Daten!$V15=17,1,0)</f>
        <v>1</v>
      </c>
      <c r="N15" s="157">
        <f ca="1">IF(Daten!$W15=Sprache!$A$60,1,0)</f>
        <v>0</v>
      </c>
      <c r="O15" s="169">
        <f>IF(AND(Daten!$AK15&lt;=KINVARO!$AW$3,Daten!$AL15&gt;=KINVARO!$AW$3)=TRUE,1,0)</f>
        <v>1</v>
      </c>
      <c r="P15" s="170">
        <f>IF(AND(Daten!$Z15&lt;=KINVARO!$AW$4,Daten!$AA15&gt;=KINVARO!$AW$4)=TRUE,1,0)</f>
        <v>0</v>
      </c>
      <c r="R15" s="170">
        <f>IF(AND(Daten!$AC15&lt;='Material+Limits'!$I$58,Daten!$AD15&gt;='Material+Limits'!$I$58)=TRUE,1,0)</f>
        <v>0</v>
      </c>
      <c r="S15" s="29">
        <f ca="1">IF(Daten!$X15=Sprache!$A$125,1,0)</f>
        <v>1</v>
      </c>
      <c r="T15" s="28" t="str">
        <f ca="1">Sprache!$A$50</f>
        <v>Podnośnik L-80</v>
      </c>
      <c r="U15" s="32">
        <v>13</v>
      </c>
      <c r="V15" s="29">
        <v>17</v>
      </c>
      <c r="W15" s="30">
        <f ca="1">Sprache!$A$131</f>
        <v>0</v>
      </c>
      <c r="X15" s="30">
        <f ca="1">Sprache!$A$126</f>
        <v>0</v>
      </c>
      <c r="Y15" s="30">
        <f ca="1">Sprache!$A$96</f>
        <v>0</v>
      </c>
      <c r="Z15" s="30">
        <v>390</v>
      </c>
      <c r="AA15" s="28">
        <v>409</v>
      </c>
      <c r="AB15" s="30"/>
      <c r="AC15" s="31">
        <v>2.1</v>
      </c>
      <c r="AD15" s="53">
        <v>5.5</v>
      </c>
      <c r="AE15" s="30" t="s">
        <v>770</v>
      </c>
      <c r="AF15" s="30" t="str">
        <f ca="1">Sprache!$A$101</f>
        <v>Zestaw (prawy+lewy)</v>
      </c>
      <c r="AG15" s="30" t="str">
        <f ca="1">Sprache!$A$105</f>
        <v>Ramię Typ 3</v>
      </c>
      <c r="AH15" s="30" t="str">
        <f ca="1">Sprache!$A$110</f>
        <v>Siłownik A</v>
      </c>
      <c r="AI15" s="30" t="str">
        <f ca="1">Sprache!$A$133</f>
        <v>Adapter do ram aluminiowych, do Kinvaro L-80 zest.</v>
      </c>
      <c r="AJ15" s="30" t="s">
        <v>819</v>
      </c>
      <c r="AK15" s="30">
        <v>450</v>
      </c>
      <c r="AL15" s="28">
        <v>1200</v>
      </c>
      <c r="AM15" s="30"/>
      <c r="AN15" s="28"/>
      <c r="AO15"/>
      <c r="AR15"/>
      <c r="AS15"/>
      <c r="AT15"/>
      <c r="AU15"/>
      <c r="AV15"/>
    </row>
    <row r="16" spans="1:48" x14ac:dyDescent="0.25">
      <c r="A16" t="str">
        <f t="shared" ca="1" si="1"/>
        <v/>
      </c>
      <c r="B16" t="str">
        <f t="shared" ca="1" si="0"/>
        <v/>
      </c>
      <c r="C16" s="79">
        <f>IF('Material+Limits'!$P$4=TRUE,1,0)</f>
        <v>0</v>
      </c>
      <c r="D16" s="39">
        <f>IF(Daten!$O16+Daten!$P16+Daten!$R16=3,1,0)</f>
        <v>0</v>
      </c>
      <c r="E16" s="184">
        <f ca="1">IF(AND('Material+Limits'!$Q$21=TRUE,Daten!N16=1)=TRUE,1,0)</f>
        <v>0</v>
      </c>
      <c r="F16" s="185">
        <f>IF(AND('Material+Limits'!$Q$25=TRUE,Daten!M16=1)=TRUE,1,0)</f>
        <v>0</v>
      </c>
      <c r="G16" s="185">
        <f>IF(AND('Material+Limits'!$Q$24=TRUE,Daten!L16=1)=TRUE,1,0)</f>
        <v>0</v>
      </c>
      <c r="H16" s="185">
        <f>IF(AND('Material+Limits'!$Q$23=TRUE,Daten!K16=1)=TRUE,1,0)</f>
        <v>0</v>
      </c>
      <c r="I16" s="185">
        <f>IF(AND('Material+Limits'!$Q$22=TRUE,Daten!J16=1)=TRUE,1,0)</f>
        <v>0</v>
      </c>
      <c r="J16" s="158">
        <f>IF(Daten!$U16=13,1,0)</f>
        <v>1</v>
      </c>
      <c r="K16" s="159">
        <f>IF(Daten!$U16&lt;&gt;Daten!$V16,1,IF(Daten!$U16=14,1,0))</f>
        <v>1</v>
      </c>
      <c r="L16" s="159">
        <f>IF(Daten!$U16&lt;&gt;Daten!$V16,1,IF(Daten!$U16=16,1,0))</f>
        <v>1</v>
      </c>
      <c r="M16" s="159">
        <f>IF(Daten!$V16=17,1,0)</f>
        <v>1</v>
      </c>
      <c r="N16" s="160">
        <f ca="1">IF(Daten!$W16=Sprache!$A$60,1,0)</f>
        <v>0</v>
      </c>
      <c r="O16" s="171">
        <f>IF(AND(Daten!$AK16&lt;=KINVARO!$AW$3,Daten!$AL16&gt;=KINVARO!$AW$3)=TRUE,1,0)</f>
        <v>1</v>
      </c>
      <c r="P16" s="172">
        <f>IF(AND(Daten!$Z16&lt;=KINVARO!$AW$4,Daten!$AA16&gt;=KINVARO!$AW$4)=TRUE,1,0)</f>
        <v>0</v>
      </c>
      <c r="Q16" s="172"/>
      <c r="R16" s="172">
        <f>IF(AND(Daten!$AC16&lt;='Material+Limits'!$I$58,Daten!$AD16&gt;='Material+Limits'!$I$58)=TRUE,1,0)</f>
        <v>1</v>
      </c>
      <c r="S16" s="23">
        <f ca="1">IF(Daten!$X16=Sprache!$A$125,1,0)</f>
        <v>1</v>
      </c>
      <c r="T16" s="24" t="str">
        <f ca="1">Sprache!$A$50</f>
        <v>Podnośnik L-80</v>
      </c>
      <c r="U16" s="27">
        <v>13</v>
      </c>
      <c r="V16" s="23">
        <v>17</v>
      </c>
      <c r="W16" s="25">
        <f ca="1">Sprache!$A$131</f>
        <v>0</v>
      </c>
      <c r="X16" s="25">
        <f ca="1">Sprache!$A$126</f>
        <v>0</v>
      </c>
      <c r="Y16" s="25">
        <f ca="1">Sprache!$A$96</f>
        <v>0</v>
      </c>
      <c r="Z16" s="25">
        <v>390</v>
      </c>
      <c r="AA16" s="24">
        <v>409</v>
      </c>
      <c r="AB16" s="25"/>
      <c r="AC16" s="26">
        <v>5</v>
      </c>
      <c r="AD16" s="54">
        <v>8.5</v>
      </c>
      <c r="AE16" s="25" t="s">
        <v>771</v>
      </c>
      <c r="AF16" s="25" t="str">
        <f ca="1">Sprache!$A$101</f>
        <v>Zestaw (prawy+lewy)</v>
      </c>
      <c r="AG16" s="25" t="str">
        <f ca="1">Sprache!$A$105</f>
        <v>Ramię Typ 3</v>
      </c>
      <c r="AH16" s="25" t="str">
        <f ca="1">Sprache!$A$111</f>
        <v>Siłownik B</v>
      </c>
      <c r="AI16" s="25" t="str">
        <f ca="1">Sprache!$A$133</f>
        <v>Adapter do ram aluminiowych, do Kinvaro L-80 zest.</v>
      </c>
      <c r="AJ16" s="25" t="s">
        <v>819</v>
      </c>
      <c r="AK16" s="25">
        <v>450</v>
      </c>
      <c r="AL16" s="24">
        <v>1200</v>
      </c>
      <c r="AM16" s="30"/>
      <c r="AN16" s="24"/>
      <c r="AO16"/>
      <c r="AR16"/>
      <c r="AS16"/>
      <c r="AT16"/>
      <c r="AU16"/>
      <c r="AV16"/>
    </row>
    <row r="17" spans="1:48" s="5" customFormat="1" x14ac:dyDescent="0.25">
      <c r="A17" t="str">
        <f t="shared" ca="1" si="1"/>
        <v/>
      </c>
      <c r="B17" t="str">
        <f t="shared" ca="1" si="0"/>
        <v/>
      </c>
      <c r="C17" s="79">
        <f>IF('Material+Limits'!$P$4=TRUE,1,0)</f>
        <v>0</v>
      </c>
      <c r="D17" s="39">
        <f>IF(Daten!$O17+Daten!$P17+Daten!$R17=3,1,0)</f>
        <v>0</v>
      </c>
      <c r="E17" s="184">
        <f ca="1">IF(AND('Material+Limits'!$Q$21=TRUE,Daten!N17=1)=TRUE,1,0)</f>
        <v>0</v>
      </c>
      <c r="F17" s="185">
        <f>IF(AND('Material+Limits'!$Q$25=TRUE,Daten!M17=1)=TRUE,1,0)</f>
        <v>0</v>
      </c>
      <c r="G17" s="185">
        <f>IF(AND('Material+Limits'!$Q$24=TRUE,Daten!L17=1)=TRUE,1,0)</f>
        <v>0</v>
      </c>
      <c r="H17" s="185">
        <f>IF(AND('Material+Limits'!$Q$23=TRUE,Daten!K17=1)=TRUE,1,0)</f>
        <v>0</v>
      </c>
      <c r="I17" s="185">
        <f>IF(AND('Material+Limits'!$Q$22=TRUE,Daten!J17=1)=TRUE,1,0)</f>
        <v>0</v>
      </c>
      <c r="J17" s="155">
        <f>IF(Daten!$U17=13,1,0)</f>
        <v>1</v>
      </c>
      <c r="K17" s="156">
        <f>IF(Daten!$U17&lt;&gt;Daten!$V17,1,IF(Daten!$U17=14,1,0))</f>
        <v>1</v>
      </c>
      <c r="L17" s="156">
        <f>IF(Daten!$U17&lt;&gt;Daten!$V17,1,IF(Daten!$U17=16,1,0))</f>
        <v>1</v>
      </c>
      <c r="M17" s="156">
        <f>IF(Daten!$V17=17,1,0)</f>
        <v>1</v>
      </c>
      <c r="N17" s="157">
        <f ca="1">IF(Daten!$W17=Sprache!$A$60,1,0)</f>
        <v>0</v>
      </c>
      <c r="O17" s="169">
        <f>IF(AND(Daten!$AK17&lt;=KINVARO!$AW$3,Daten!$AL17&gt;=KINVARO!$AW$3)=TRUE,1,0)</f>
        <v>1</v>
      </c>
      <c r="P17" s="170">
        <f>IF(AND(Daten!$Z17&lt;=KINVARO!$AW$4,Daten!$AA17&gt;=KINVARO!$AW$4)=TRUE,1,0)</f>
        <v>0</v>
      </c>
      <c r="Q17" s="170"/>
      <c r="R17" s="170">
        <f>IF(AND(Daten!$AC17&lt;='Material+Limits'!$I$58,Daten!$AD17&gt;='Material+Limits'!$I$58)=TRUE,1,0)</f>
        <v>0</v>
      </c>
      <c r="S17" s="29">
        <f ca="1">IF(Daten!$X17=Sprache!$A$125,1,0)</f>
        <v>1</v>
      </c>
      <c r="T17" s="28" t="str">
        <f ca="1">Sprache!$A$50</f>
        <v>Podnośnik L-80</v>
      </c>
      <c r="U17" s="32">
        <v>13</v>
      </c>
      <c r="V17" s="29">
        <v>17</v>
      </c>
      <c r="W17" s="30">
        <f ca="1">Sprache!$A$131</f>
        <v>0</v>
      </c>
      <c r="X17" s="30">
        <f ca="1">Sprache!$A$126</f>
        <v>0</v>
      </c>
      <c r="Y17" s="30">
        <f ca="1">Sprache!$A$96</f>
        <v>0</v>
      </c>
      <c r="Z17" s="30">
        <v>390</v>
      </c>
      <c r="AA17" s="28">
        <v>409</v>
      </c>
      <c r="AB17" s="30"/>
      <c r="AC17" s="31">
        <v>8</v>
      </c>
      <c r="AD17" s="53">
        <v>10.1</v>
      </c>
      <c r="AE17" s="30" t="s">
        <v>772</v>
      </c>
      <c r="AF17" s="30" t="str">
        <f ca="1">Sprache!$A$101</f>
        <v>Zestaw (prawy+lewy)</v>
      </c>
      <c r="AG17" s="30" t="str">
        <f ca="1">Sprache!$A$105</f>
        <v>Ramię Typ 3</v>
      </c>
      <c r="AH17" s="30" t="str">
        <f ca="1">Sprache!$A$112</f>
        <v>Siłownik C</v>
      </c>
      <c r="AI17" s="30" t="str">
        <f ca="1">Sprache!$A$133</f>
        <v>Adapter do ram aluminiowych, do Kinvaro L-80 zest.</v>
      </c>
      <c r="AJ17" s="30" t="s">
        <v>819</v>
      </c>
      <c r="AK17" s="30">
        <v>450</v>
      </c>
      <c r="AL17" s="28">
        <v>1200</v>
      </c>
      <c r="AM17" s="30"/>
      <c r="AN17" s="28"/>
    </row>
    <row r="18" spans="1:48" x14ac:dyDescent="0.25">
      <c r="A18" t="str">
        <f t="shared" ca="1" si="1"/>
        <v/>
      </c>
      <c r="B18" t="str">
        <f t="shared" ca="1" si="0"/>
        <v/>
      </c>
      <c r="C18" s="79">
        <f>IF('Material+Limits'!$P$4=TRUE,1,0)</f>
        <v>0</v>
      </c>
      <c r="D18" s="39">
        <f>IF(Daten!$O18+Daten!$P18+Daten!$R18=3,1,0)</f>
        <v>0</v>
      </c>
      <c r="E18" s="184">
        <f ca="1">IF(AND('Material+Limits'!$Q$21=TRUE,Daten!N18=1)=TRUE,1,0)</f>
        <v>1</v>
      </c>
      <c r="F18" s="185">
        <f ca="1">IF(AND('Material+Limits'!$Q$25=TRUE,Daten!M18=1)=TRUE,1,0)</f>
        <v>0</v>
      </c>
      <c r="G18" s="185">
        <f ca="1">IF(AND('Material+Limits'!$Q$24=TRUE,Daten!L18=1)=TRUE,1,0)</f>
        <v>0</v>
      </c>
      <c r="H18" s="185">
        <f ca="1">IF(AND('Material+Limits'!$Q$23=TRUE,Daten!K18=1)=TRUE,1,0)</f>
        <v>0</v>
      </c>
      <c r="I18" s="185">
        <f ca="1">IF(AND('Material+Limits'!$Q$22=TRUE,Daten!J18=1)=TRUE,1,0)</f>
        <v>0</v>
      </c>
      <c r="J18" s="158">
        <f ca="1">IF(Daten!$U18=13,1,0)</f>
        <v>0</v>
      </c>
      <c r="K18" s="159">
        <f ca="1">IF(Daten!$U18&lt;&gt;Daten!$V18,1,IF(Daten!$U18=14,1,0))</f>
        <v>0</v>
      </c>
      <c r="L18" s="159">
        <f ca="1">IF(Daten!$U18&lt;&gt;Daten!$V18,1,IF(Daten!$U18=16,1,0))</f>
        <v>0</v>
      </c>
      <c r="M18" s="159">
        <f ca="1">IF(Daten!$V18=17,1,0)</f>
        <v>0</v>
      </c>
      <c r="N18" s="160">
        <f ca="1">IF(Daten!$W18=Sprache!$A$60,1,0)</f>
        <v>1</v>
      </c>
      <c r="O18" s="173">
        <f>IF(AND(Daten!$AK18&lt;=KINVARO!$AW$3,Daten!$AL18&gt;=KINVARO!$AW$3)=TRUE,1,0)</f>
        <v>1</v>
      </c>
      <c r="P18" s="174">
        <f>IF(AND(Daten!$Z18&lt;=KINVARO!$AW$4,Daten!$AA18&gt;=KINVARO!$AW$4)=TRUE,1,0)</f>
        <v>0</v>
      </c>
      <c r="Q18" s="174"/>
      <c r="R18" s="174">
        <f>IF(AND(Daten!$AC18&lt;='Material+Limits'!$I$58,Daten!$AD18&gt;='Material+Limits'!$I$58)=TRUE,1,0)</f>
        <v>0</v>
      </c>
      <c r="S18" s="38">
        <f ca="1">IF(Daten!$X18=Sprache!$A$125,1,0)</f>
        <v>1</v>
      </c>
      <c r="T18" s="57" t="str">
        <f ca="1">Sprache!$A$50</f>
        <v>Podnośnik L-80</v>
      </c>
      <c r="U18" s="55">
        <f ca="1">Sprache!$A$64</f>
        <v>0</v>
      </c>
      <c r="V18" s="38">
        <f ca="1">Sprache!$A$64</f>
        <v>0</v>
      </c>
      <c r="W18" s="56" t="str">
        <f ca="1">Sprache!$A$60</f>
        <v>Front lity (drewno/płyta)</v>
      </c>
      <c r="X18" s="25">
        <f ca="1">Sprache!$A$126</f>
        <v>0</v>
      </c>
      <c r="Y18" s="56">
        <f ca="1">Sprache!$A$96</f>
        <v>0</v>
      </c>
      <c r="Z18" s="56">
        <v>410</v>
      </c>
      <c r="AA18" s="57">
        <v>429</v>
      </c>
      <c r="AB18" s="56"/>
      <c r="AC18" s="58">
        <v>1.9</v>
      </c>
      <c r="AD18" s="59">
        <v>5</v>
      </c>
      <c r="AE18" s="56" t="s">
        <v>773</v>
      </c>
      <c r="AF18" s="56" t="str">
        <f ca="1">Sprache!$A$101</f>
        <v>Zestaw (prawy+lewy)</v>
      </c>
      <c r="AG18" s="56" t="str">
        <f ca="1">Sprache!$A$106</f>
        <v>Ramię Typ 4</v>
      </c>
      <c r="AH18" s="56" t="str">
        <f ca="1">Sprache!$A$110</f>
        <v>Siłownik A</v>
      </c>
      <c r="AI18" s="56" t="s">
        <v>26</v>
      </c>
      <c r="AJ18" s="56" t="s">
        <v>26</v>
      </c>
      <c r="AK18" s="56">
        <v>450</v>
      </c>
      <c r="AL18" s="57">
        <v>1200</v>
      </c>
      <c r="AM18" s="30"/>
      <c r="AN18" s="24"/>
      <c r="AO18"/>
      <c r="AR18"/>
      <c r="AS18"/>
      <c r="AT18"/>
      <c r="AU18"/>
      <c r="AV18"/>
    </row>
    <row r="19" spans="1:48" x14ac:dyDescent="0.25">
      <c r="A19" t="str">
        <f t="shared" ca="1" si="1"/>
        <v/>
      </c>
      <c r="B19" t="str">
        <f t="shared" ca="1" si="0"/>
        <v/>
      </c>
      <c r="C19" s="79">
        <f>IF('Material+Limits'!$P$4=TRUE,1,0)</f>
        <v>0</v>
      </c>
      <c r="D19" s="39">
        <f>IF(Daten!$O19+Daten!$P19+Daten!$R19=3,1,0)</f>
        <v>0</v>
      </c>
      <c r="E19" s="184">
        <f ca="1">IF(AND('Material+Limits'!$Q$21=TRUE,Daten!N19=1)=TRUE,1,0)</f>
        <v>1</v>
      </c>
      <c r="F19" s="185">
        <f ca="1">IF(AND('Material+Limits'!$Q$25=TRUE,Daten!M19=1)=TRUE,1,0)</f>
        <v>0</v>
      </c>
      <c r="G19" s="185">
        <f ca="1">IF(AND('Material+Limits'!$Q$24=TRUE,Daten!L19=1)=TRUE,1,0)</f>
        <v>0</v>
      </c>
      <c r="H19" s="185">
        <f ca="1">IF(AND('Material+Limits'!$Q$23=TRUE,Daten!K19=1)=TRUE,1,0)</f>
        <v>0</v>
      </c>
      <c r="I19" s="185">
        <f ca="1">IF(AND('Material+Limits'!$Q$22=TRUE,Daten!J19=1)=TRUE,1,0)</f>
        <v>0</v>
      </c>
      <c r="J19" s="155">
        <f ca="1">IF(Daten!$U19=13,1,0)</f>
        <v>0</v>
      </c>
      <c r="K19" s="156">
        <f ca="1">IF(Daten!$U19&lt;&gt;Daten!$V19,1,IF(Daten!$U19=14,1,0))</f>
        <v>0</v>
      </c>
      <c r="L19" s="156">
        <f ca="1">IF(Daten!$U19&lt;&gt;Daten!$V19,1,IF(Daten!$U19=16,1,0))</f>
        <v>0</v>
      </c>
      <c r="M19" s="156">
        <f ca="1">IF(Daten!$V19=17,1,0)</f>
        <v>0</v>
      </c>
      <c r="N19" s="157">
        <f ca="1">IF(Daten!$W19=Sprache!$A$60,1,0)</f>
        <v>1</v>
      </c>
      <c r="O19" s="169">
        <f>IF(AND(Daten!$AK19&lt;=KINVARO!$AW$3,Daten!$AL19&gt;=KINVARO!$AW$3)=TRUE,1,0)</f>
        <v>1</v>
      </c>
      <c r="P19" s="170">
        <f>IF(AND(Daten!$Z19&lt;=KINVARO!$AW$4,Daten!$AA19&gt;=KINVARO!$AW$4)=TRUE,1,0)</f>
        <v>0</v>
      </c>
      <c r="R19" s="170">
        <f>IF(AND(Daten!$AC19&lt;='Material+Limits'!$I$58,Daten!$AD19&gt;='Material+Limits'!$I$58)=TRUE,1,0)</f>
        <v>1</v>
      </c>
      <c r="S19" s="29">
        <f ca="1">IF(Daten!$X19=Sprache!$A$125,1,0)</f>
        <v>1</v>
      </c>
      <c r="T19" s="28" t="str">
        <f ca="1">Sprache!$A$50</f>
        <v>Podnośnik L-80</v>
      </c>
      <c r="U19" s="32">
        <f ca="1">Sprache!$A$64</f>
        <v>0</v>
      </c>
      <c r="V19" s="29">
        <f ca="1">Sprache!$A$64</f>
        <v>0</v>
      </c>
      <c r="W19" s="30" t="str">
        <f ca="1">Sprache!$A$60</f>
        <v>Front lity (drewno/płyta)</v>
      </c>
      <c r="X19" s="30">
        <f ca="1">Sprache!$A$126</f>
        <v>0</v>
      </c>
      <c r="Y19" s="30">
        <f ca="1">Sprache!$A$96</f>
        <v>0</v>
      </c>
      <c r="Z19" s="30">
        <v>410</v>
      </c>
      <c r="AA19" s="28">
        <v>429</v>
      </c>
      <c r="AB19" s="30"/>
      <c r="AC19" s="31">
        <v>4.5</v>
      </c>
      <c r="AD19" s="53">
        <v>8</v>
      </c>
      <c r="AE19" s="30" t="s">
        <v>774</v>
      </c>
      <c r="AF19" s="30" t="str">
        <f ca="1">Sprache!$A$101</f>
        <v>Zestaw (prawy+lewy)</v>
      </c>
      <c r="AG19" s="30" t="str">
        <f ca="1">Sprache!$A$106</f>
        <v>Ramię Typ 4</v>
      </c>
      <c r="AH19" s="30" t="str">
        <f ca="1">Sprache!$A$111</f>
        <v>Siłownik B</v>
      </c>
      <c r="AI19" s="30" t="s">
        <v>26</v>
      </c>
      <c r="AJ19" s="30" t="s">
        <v>26</v>
      </c>
      <c r="AK19" s="30">
        <v>450</v>
      </c>
      <c r="AL19" s="28">
        <v>1200</v>
      </c>
      <c r="AM19" s="30"/>
      <c r="AN19" s="28"/>
      <c r="AO19"/>
      <c r="AR19"/>
      <c r="AS19"/>
      <c r="AT19"/>
      <c r="AU19"/>
      <c r="AV19"/>
    </row>
    <row r="20" spans="1:48" s="4" customFormat="1" x14ac:dyDescent="0.25">
      <c r="A20" t="str">
        <f t="shared" ca="1" si="1"/>
        <v/>
      </c>
      <c r="B20" t="str">
        <f t="shared" ca="1" si="0"/>
        <v/>
      </c>
      <c r="C20" s="79">
        <f>IF('Material+Limits'!$P$4=TRUE,1,0)</f>
        <v>0</v>
      </c>
      <c r="D20" s="39">
        <f>IF(Daten!$O20+Daten!$P20+Daten!$R20=3,1,0)</f>
        <v>0</v>
      </c>
      <c r="E20" s="184">
        <f ca="1">IF(AND('Material+Limits'!$Q$21=TRUE,Daten!N20=1)=TRUE,1,0)</f>
        <v>1</v>
      </c>
      <c r="F20" s="185">
        <f ca="1">IF(AND('Material+Limits'!$Q$25=TRUE,Daten!M20=1)=TRUE,1,0)</f>
        <v>0</v>
      </c>
      <c r="G20" s="185">
        <f ca="1">IF(AND('Material+Limits'!$Q$24=TRUE,Daten!L20=1)=TRUE,1,0)</f>
        <v>0</v>
      </c>
      <c r="H20" s="185">
        <f ca="1">IF(AND('Material+Limits'!$Q$23=TRUE,Daten!K20=1)=TRUE,1,0)</f>
        <v>0</v>
      </c>
      <c r="I20" s="185">
        <f ca="1">IF(AND('Material+Limits'!$Q$22=TRUE,Daten!J20=1)=TRUE,1,0)</f>
        <v>0</v>
      </c>
      <c r="J20" s="158">
        <f ca="1">IF(Daten!$U20=13,1,0)</f>
        <v>0</v>
      </c>
      <c r="K20" s="159">
        <f ca="1">IF(Daten!$U20&lt;&gt;Daten!$V20,1,IF(Daten!$U20=14,1,0))</f>
        <v>0</v>
      </c>
      <c r="L20" s="159">
        <f ca="1">IF(Daten!$U20&lt;&gt;Daten!$V20,1,IF(Daten!$U20=16,1,0))</f>
        <v>0</v>
      </c>
      <c r="M20" s="159">
        <f ca="1">IF(Daten!$V20=17,1,0)</f>
        <v>0</v>
      </c>
      <c r="N20" s="160">
        <f ca="1">IF(Daten!$W20=Sprache!$A$60,1,0)</f>
        <v>1</v>
      </c>
      <c r="O20" s="171">
        <f>IF(AND(Daten!$AK20&lt;=KINVARO!$AW$3,Daten!$AL20&gt;=KINVARO!$AW$3)=TRUE,1,0)</f>
        <v>1</v>
      </c>
      <c r="P20" s="172">
        <f>IF(AND(Daten!$Z20&lt;=KINVARO!$AW$4,Daten!$AA20&gt;=KINVARO!$AW$4)=TRUE,1,0)</f>
        <v>0</v>
      </c>
      <c r="Q20" s="172"/>
      <c r="R20" s="172">
        <f>IF(AND(Daten!$AC20&lt;='Material+Limits'!$I$58,Daten!$AD20&gt;='Material+Limits'!$I$58)=TRUE,1,0)</f>
        <v>0</v>
      </c>
      <c r="S20" s="23">
        <f ca="1">IF(Daten!$X20=Sprache!$A$125,1,0)</f>
        <v>1</v>
      </c>
      <c r="T20" s="24" t="str">
        <f ca="1">Sprache!$A$50</f>
        <v>Podnośnik L-80</v>
      </c>
      <c r="U20" s="27">
        <f ca="1">Sprache!$A$64</f>
        <v>0</v>
      </c>
      <c r="V20" s="23">
        <f ca="1">Sprache!$A$64</f>
        <v>0</v>
      </c>
      <c r="W20" s="25" t="str">
        <f ca="1">Sprache!$A$60</f>
        <v>Front lity (drewno/płyta)</v>
      </c>
      <c r="X20" s="25">
        <f ca="1">Sprache!$A$126</f>
        <v>0</v>
      </c>
      <c r="Y20" s="25">
        <f ca="1">Sprache!$A$96</f>
        <v>0</v>
      </c>
      <c r="Z20" s="25">
        <v>410</v>
      </c>
      <c r="AA20" s="24">
        <v>429</v>
      </c>
      <c r="AB20" s="25"/>
      <c r="AC20" s="26">
        <v>7.5</v>
      </c>
      <c r="AD20" s="54">
        <v>14.6</v>
      </c>
      <c r="AE20" s="25" t="s">
        <v>775</v>
      </c>
      <c r="AF20" s="25" t="str">
        <f ca="1">Sprache!$A$101</f>
        <v>Zestaw (prawy+lewy)</v>
      </c>
      <c r="AG20" s="25" t="str">
        <f ca="1">Sprache!$A$106</f>
        <v>Ramię Typ 4</v>
      </c>
      <c r="AH20" s="25" t="str">
        <f ca="1">Sprache!$A$112</f>
        <v>Siłownik C</v>
      </c>
      <c r="AI20" s="25" t="s">
        <v>26</v>
      </c>
      <c r="AJ20" s="25" t="s">
        <v>26</v>
      </c>
      <c r="AK20" s="25">
        <v>450</v>
      </c>
      <c r="AL20" s="24">
        <v>1200</v>
      </c>
      <c r="AM20" s="30"/>
      <c r="AN20" s="24"/>
    </row>
    <row r="21" spans="1:48" x14ac:dyDescent="0.25">
      <c r="A21" t="str">
        <f t="shared" ca="1" si="1"/>
        <v/>
      </c>
      <c r="B21" t="str">
        <f t="shared" ca="1" si="0"/>
        <v/>
      </c>
      <c r="C21" s="79">
        <f>IF('Material+Limits'!$P$4=TRUE,1,0)</f>
        <v>0</v>
      </c>
      <c r="D21" s="39">
        <f>IF(Daten!$O21+Daten!$P21+Daten!$R21=3,1,0)</f>
        <v>0</v>
      </c>
      <c r="E21" s="184">
        <f ca="1">IF(AND('Material+Limits'!$Q$21=TRUE,Daten!N21=1)=TRUE,1,0)</f>
        <v>0</v>
      </c>
      <c r="F21" s="185">
        <f>IF(AND('Material+Limits'!$Q$25=TRUE,Daten!M21=1)=TRUE,1,0)</f>
        <v>0</v>
      </c>
      <c r="G21" s="185">
        <f>IF(AND('Material+Limits'!$Q$24=TRUE,Daten!L21=1)=TRUE,1,0)</f>
        <v>0</v>
      </c>
      <c r="H21" s="185">
        <f>IF(AND('Material+Limits'!$Q$23=TRUE,Daten!K21=1)=TRUE,1,0)</f>
        <v>0</v>
      </c>
      <c r="I21" s="185">
        <f>IF(AND('Material+Limits'!$Q$22=TRUE,Daten!J21=1)=TRUE,1,0)</f>
        <v>0</v>
      </c>
      <c r="J21" s="155">
        <f>IF(Daten!$U21=13,1,0)</f>
        <v>1</v>
      </c>
      <c r="K21" s="156">
        <f>IF(Daten!$U21&lt;&gt;Daten!$V21,1,IF(Daten!$U21=14,1,0))</f>
        <v>1</v>
      </c>
      <c r="L21" s="156">
        <f>IF(Daten!$U21&lt;&gt;Daten!$V21,1,IF(Daten!$U21=16,1,0))</f>
        <v>1</v>
      </c>
      <c r="M21" s="156">
        <f>IF(Daten!$V21=17,1,0)</f>
        <v>1</v>
      </c>
      <c r="N21" s="157">
        <f ca="1">IF(Daten!$W21=Sprache!$A$60,1,0)</f>
        <v>0</v>
      </c>
      <c r="O21" s="169">
        <f>IF(AND(Daten!$AK21&lt;=KINVARO!$AW$3,Daten!$AL21&gt;=KINVARO!$AW$3)=TRUE,1,0)</f>
        <v>1</v>
      </c>
      <c r="P21" s="170">
        <f>IF(AND(Daten!$Z21&lt;=KINVARO!$AW$4,Daten!$AA21&gt;=KINVARO!$AW$4)=TRUE,1,0)</f>
        <v>0</v>
      </c>
      <c r="R21" s="170">
        <f>IF(AND(Daten!$AC21&lt;='Material+Limits'!$I$58,Daten!$AD21&gt;='Material+Limits'!$I$58)=TRUE,1,0)</f>
        <v>0</v>
      </c>
      <c r="S21" s="29">
        <f ca="1">IF(Daten!$X21=Sprache!$A$125,1,0)</f>
        <v>1</v>
      </c>
      <c r="T21" s="28" t="str">
        <f ca="1">Sprache!$A$50</f>
        <v>Podnośnik L-80</v>
      </c>
      <c r="U21" s="32">
        <v>13</v>
      </c>
      <c r="V21" s="29">
        <v>17</v>
      </c>
      <c r="W21" s="30">
        <f ca="1">Sprache!$A$131</f>
        <v>0</v>
      </c>
      <c r="X21" s="30">
        <f ca="1">Sprache!$A$126</f>
        <v>0</v>
      </c>
      <c r="Y21" s="30">
        <f ca="1">Sprache!$A$96</f>
        <v>0</v>
      </c>
      <c r="Z21" s="30">
        <v>410</v>
      </c>
      <c r="AA21" s="28">
        <v>429</v>
      </c>
      <c r="AB21" s="30"/>
      <c r="AC21" s="31">
        <v>1.9</v>
      </c>
      <c r="AD21" s="53">
        <v>5</v>
      </c>
      <c r="AE21" s="30" t="s">
        <v>773</v>
      </c>
      <c r="AF21" s="30" t="str">
        <f ca="1">Sprache!$A$101</f>
        <v>Zestaw (prawy+lewy)</v>
      </c>
      <c r="AG21" s="30" t="str">
        <f ca="1">Sprache!$A$106</f>
        <v>Ramię Typ 4</v>
      </c>
      <c r="AH21" s="30" t="str">
        <f ca="1">Sprache!$A$110</f>
        <v>Siłownik A</v>
      </c>
      <c r="AI21" s="30" t="str">
        <f ca="1">Sprache!$A$133</f>
        <v>Adapter do ram aluminiowych, do Kinvaro L-80 zest.</v>
      </c>
      <c r="AJ21" s="30" t="s">
        <v>819</v>
      </c>
      <c r="AK21" s="30">
        <v>450</v>
      </c>
      <c r="AL21" s="28">
        <v>1200</v>
      </c>
      <c r="AM21" s="30"/>
      <c r="AN21" s="28"/>
      <c r="AO21"/>
      <c r="AR21"/>
      <c r="AS21"/>
      <c r="AT21"/>
      <c r="AU21"/>
      <c r="AV21"/>
    </row>
    <row r="22" spans="1:48" x14ac:dyDescent="0.25">
      <c r="A22" t="str">
        <f t="shared" ca="1" si="1"/>
        <v/>
      </c>
      <c r="B22" t="str">
        <f t="shared" ca="1" si="0"/>
        <v/>
      </c>
      <c r="C22" s="79">
        <f>IF('Material+Limits'!$P$4=TRUE,1,0)</f>
        <v>0</v>
      </c>
      <c r="D22" s="39">
        <f>IF(Daten!$O22+Daten!$P22+Daten!$R22=3,1,0)</f>
        <v>0</v>
      </c>
      <c r="E22" s="184">
        <f ca="1">IF(AND('Material+Limits'!$Q$21=TRUE,Daten!N22=1)=TRUE,1,0)</f>
        <v>0</v>
      </c>
      <c r="F22" s="185">
        <f>IF(AND('Material+Limits'!$Q$25=TRUE,Daten!M22=1)=TRUE,1,0)</f>
        <v>0</v>
      </c>
      <c r="G22" s="185">
        <f>IF(AND('Material+Limits'!$Q$24=TRUE,Daten!L22=1)=TRUE,1,0)</f>
        <v>0</v>
      </c>
      <c r="H22" s="185">
        <f>IF(AND('Material+Limits'!$Q$23=TRUE,Daten!K22=1)=TRUE,1,0)</f>
        <v>0</v>
      </c>
      <c r="I22" s="185">
        <f>IF(AND('Material+Limits'!$Q$22=TRUE,Daten!J22=1)=TRUE,1,0)</f>
        <v>0</v>
      </c>
      <c r="J22" s="158">
        <f>IF(Daten!$U22=13,1,0)</f>
        <v>1</v>
      </c>
      <c r="K22" s="159">
        <f>IF(Daten!$U22&lt;&gt;Daten!$V22,1,IF(Daten!$U22=14,1,0))</f>
        <v>1</v>
      </c>
      <c r="L22" s="159">
        <f>IF(Daten!$U22&lt;&gt;Daten!$V22,1,IF(Daten!$U22=16,1,0))</f>
        <v>1</v>
      </c>
      <c r="M22" s="159">
        <f>IF(Daten!$V22=17,1,0)</f>
        <v>1</v>
      </c>
      <c r="N22" s="160">
        <f ca="1">IF(Daten!$W22=Sprache!$A$60,1,0)</f>
        <v>0</v>
      </c>
      <c r="O22" s="171">
        <f>IF(AND(Daten!$AK22&lt;=KINVARO!$AW$3,Daten!$AL22&gt;=KINVARO!$AW$3)=TRUE,1,0)</f>
        <v>1</v>
      </c>
      <c r="P22" s="172">
        <f>IF(AND(Daten!$Z22&lt;=KINVARO!$AW$4,Daten!$AA22&gt;=KINVARO!$AW$4)=TRUE,1,0)</f>
        <v>0</v>
      </c>
      <c r="Q22" s="172"/>
      <c r="R22" s="172">
        <f>IF(AND(Daten!$AC22&lt;='Material+Limits'!$I$58,Daten!$AD22&gt;='Material+Limits'!$I$58)=TRUE,1,0)</f>
        <v>1</v>
      </c>
      <c r="S22" s="23">
        <f ca="1">IF(Daten!$X22=Sprache!$A$125,1,0)</f>
        <v>1</v>
      </c>
      <c r="T22" s="24" t="str">
        <f ca="1">Sprache!$A$50</f>
        <v>Podnośnik L-80</v>
      </c>
      <c r="U22" s="27">
        <v>13</v>
      </c>
      <c r="V22" s="23">
        <v>17</v>
      </c>
      <c r="W22" s="25">
        <f ca="1">Sprache!$A$131</f>
        <v>0</v>
      </c>
      <c r="X22" s="25">
        <f ca="1">Sprache!$A$126</f>
        <v>0</v>
      </c>
      <c r="Y22" s="25">
        <f ca="1">Sprache!$A$96</f>
        <v>0</v>
      </c>
      <c r="Z22" s="25">
        <v>410</v>
      </c>
      <c r="AA22" s="24">
        <v>429</v>
      </c>
      <c r="AB22" s="25"/>
      <c r="AC22" s="26">
        <v>4.5</v>
      </c>
      <c r="AD22" s="54">
        <v>8</v>
      </c>
      <c r="AE22" s="25" t="s">
        <v>774</v>
      </c>
      <c r="AF22" s="25" t="str">
        <f ca="1">Sprache!$A$101</f>
        <v>Zestaw (prawy+lewy)</v>
      </c>
      <c r="AG22" s="25" t="str">
        <f ca="1">Sprache!$A$106</f>
        <v>Ramię Typ 4</v>
      </c>
      <c r="AH22" s="25" t="str">
        <f ca="1">Sprache!$A$111</f>
        <v>Siłownik B</v>
      </c>
      <c r="AI22" s="25" t="str">
        <f ca="1">Sprache!$A$133</f>
        <v>Adapter do ram aluminiowych, do Kinvaro L-80 zest.</v>
      </c>
      <c r="AJ22" s="25" t="s">
        <v>819</v>
      </c>
      <c r="AK22" s="25">
        <v>450</v>
      </c>
      <c r="AL22" s="24">
        <v>1200</v>
      </c>
      <c r="AM22" s="30"/>
      <c r="AN22" s="24"/>
      <c r="AO22"/>
      <c r="AR22"/>
      <c r="AS22"/>
      <c r="AT22"/>
      <c r="AU22"/>
      <c r="AV22"/>
    </row>
    <row r="23" spans="1:48" s="5" customFormat="1" x14ac:dyDescent="0.25">
      <c r="A23" t="str">
        <f t="shared" ca="1" si="1"/>
        <v/>
      </c>
      <c r="B23" t="str">
        <f t="shared" ca="1" si="0"/>
        <v/>
      </c>
      <c r="C23" s="79">
        <f>IF('Material+Limits'!$P$4=TRUE,1,0)</f>
        <v>0</v>
      </c>
      <c r="D23" s="39">
        <f>IF(Daten!$O23+Daten!$P23+Daten!$R23=3,1,0)</f>
        <v>0</v>
      </c>
      <c r="E23" s="184">
        <f ca="1">IF(AND('Material+Limits'!$Q$21=TRUE,Daten!N23=1)=TRUE,1,0)</f>
        <v>0</v>
      </c>
      <c r="F23" s="185">
        <f>IF(AND('Material+Limits'!$Q$25=TRUE,Daten!M23=1)=TRUE,1,0)</f>
        <v>0</v>
      </c>
      <c r="G23" s="185">
        <f>IF(AND('Material+Limits'!$Q$24=TRUE,Daten!L23=1)=TRUE,1,0)</f>
        <v>0</v>
      </c>
      <c r="H23" s="185">
        <f>IF(AND('Material+Limits'!$Q$23=TRUE,Daten!K23=1)=TRUE,1,0)</f>
        <v>0</v>
      </c>
      <c r="I23" s="185">
        <f>IF(AND('Material+Limits'!$Q$22=TRUE,Daten!J23=1)=TRUE,1,0)</f>
        <v>0</v>
      </c>
      <c r="J23" s="155">
        <f>IF(Daten!$U23=13,1,0)</f>
        <v>1</v>
      </c>
      <c r="K23" s="156">
        <f>IF(Daten!$U23&lt;&gt;Daten!$V23,1,IF(Daten!$U23=14,1,0))</f>
        <v>1</v>
      </c>
      <c r="L23" s="156">
        <f>IF(Daten!$U23&lt;&gt;Daten!$V23,1,IF(Daten!$U23=16,1,0))</f>
        <v>1</v>
      </c>
      <c r="M23" s="156">
        <f>IF(Daten!$V23=17,1,0)</f>
        <v>1</v>
      </c>
      <c r="N23" s="157">
        <f ca="1">IF(Daten!$W23=Sprache!$A$60,1,0)</f>
        <v>0</v>
      </c>
      <c r="O23" s="169">
        <f>IF(AND(Daten!$AK23&lt;=KINVARO!$AW$3,Daten!$AL23&gt;=KINVARO!$AW$3)=TRUE,1,0)</f>
        <v>1</v>
      </c>
      <c r="P23" s="170">
        <f>IF(AND(Daten!$Z23&lt;=KINVARO!$AW$4,Daten!$AA23&gt;=KINVARO!$AW$4)=TRUE,1,0)</f>
        <v>0</v>
      </c>
      <c r="Q23" s="170"/>
      <c r="R23" s="170">
        <f>IF(AND(Daten!$AC23&lt;='Material+Limits'!$I$58,Daten!$AD23&gt;='Material+Limits'!$I$58)=TRUE,1,0)</f>
        <v>0</v>
      </c>
      <c r="S23" s="29">
        <f ca="1">IF(Daten!$X23=Sprache!$A$125,1,0)</f>
        <v>1</v>
      </c>
      <c r="T23" s="28" t="str">
        <f ca="1">Sprache!$A$50</f>
        <v>Podnośnik L-80</v>
      </c>
      <c r="U23" s="32">
        <v>13</v>
      </c>
      <c r="V23" s="29">
        <v>17</v>
      </c>
      <c r="W23" s="30">
        <f ca="1">Sprache!$A$131</f>
        <v>0</v>
      </c>
      <c r="X23" s="30">
        <f ca="1">Sprache!$A$126</f>
        <v>0</v>
      </c>
      <c r="Y23" s="30">
        <f ca="1">Sprache!$A$96</f>
        <v>0</v>
      </c>
      <c r="Z23" s="30">
        <v>410</v>
      </c>
      <c r="AA23" s="28">
        <v>429</v>
      </c>
      <c r="AB23" s="30"/>
      <c r="AC23" s="31">
        <v>7.5</v>
      </c>
      <c r="AD23" s="53">
        <v>14.6</v>
      </c>
      <c r="AE23" s="30" t="s">
        <v>775</v>
      </c>
      <c r="AF23" s="30" t="str">
        <f ca="1">Sprache!$A$101</f>
        <v>Zestaw (prawy+lewy)</v>
      </c>
      <c r="AG23" s="30" t="str">
        <f ca="1">Sprache!$A$106</f>
        <v>Ramię Typ 4</v>
      </c>
      <c r="AH23" s="30" t="str">
        <f ca="1">Sprache!$A$112</f>
        <v>Siłownik C</v>
      </c>
      <c r="AI23" s="30" t="str">
        <f ca="1">Sprache!$A$133</f>
        <v>Adapter do ram aluminiowych, do Kinvaro L-80 zest.</v>
      </c>
      <c r="AJ23" s="30" t="s">
        <v>819</v>
      </c>
      <c r="AK23" s="30">
        <v>450</v>
      </c>
      <c r="AL23" s="28">
        <v>1200</v>
      </c>
      <c r="AM23" s="30"/>
      <c r="AN23" s="28"/>
    </row>
    <row r="24" spans="1:48" x14ac:dyDescent="0.25">
      <c r="A24" t="str">
        <f t="shared" ca="1" si="1"/>
        <v/>
      </c>
      <c r="B24" t="str">
        <f t="shared" ca="1" si="0"/>
        <v/>
      </c>
      <c r="C24" s="79">
        <f>IF('Material+Limits'!$P$4=TRUE,1,0)</f>
        <v>0</v>
      </c>
      <c r="D24" s="39">
        <f>IF(Daten!$O24+Daten!$P24+Daten!$R24=3,1,0)</f>
        <v>0</v>
      </c>
      <c r="E24" s="184">
        <f ca="1">IF(AND('Material+Limits'!$Q$21=TRUE,Daten!N24=1)=TRUE,1,0)</f>
        <v>1</v>
      </c>
      <c r="F24" s="185">
        <f ca="1">IF(AND('Material+Limits'!$Q$25=TRUE,Daten!M24=1)=TRUE,1,0)</f>
        <v>0</v>
      </c>
      <c r="G24" s="185">
        <f ca="1">IF(AND('Material+Limits'!$Q$24=TRUE,Daten!L24=1)=TRUE,1,0)</f>
        <v>0</v>
      </c>
      <c r="H24" s="185">
        <f ca="1">IF(AND('Material+Limits'!$Q$23=TRUE,Daten!K24=1)=TRUE,1,0)</f>
        <v>0</v>
      </c>
      <c r="I24" s="185">
        <f ca="1">IF(AND('Material+Limits'!$Q$22=TRUE,Daten!J24=1)=TRUE,1,0)</f>
        <v>0</v>
      </c>
      <c r="J24" s="158">
        <f ca="1">IF(Daten!$U24=13,1,0)</f>
        <v>0</v>
      </c>
      <c r="K24" s="159">
        <f ca="1">IF(Daten!$U24&lt;&gt;Daten!$V24,1,IF(Daten!$U24=14,1,0))</f>
        <v>0</v>
      </c>
      <c r="L24" s="159">
        <f ca="1">IF(Daten!$U24&lt;&gt;Daten!$V24,1,IF(Daten!$U24=16,1,0))</f>
        <v>0</v>
      </c>
      <c r="M24" s="159">
        <f ca="1">IF(Daten!$V24=17,1,0)</f>
        <v>0</v>
      </c>
      <c r="N24" s="160">
        <f ca="1">IF(Daten!$W24=Sprache!$A$60,1,0)</f>
        <v>1</v>
      </c>
      <c r="O24" s="173">
        <f>IF(AND(Daten!$AK24&lt;=KINVARO!$AW$3,Daten!$AL24&gt;=KINVARO!$AW$3)=TRUE,1,0)</f>
        <v>1</v>
      </c>
      <c r="P24" s="174">
        <f>IF(AND(Daten!$Z24&lt;=KINVARO!$AW$4,Daten!$AA24&gt;=KINVARO!$AW$4)=TRUE,1,0)</f>
        <v>1</v>
      </c>
      <c r="Q24" s="174"/>
      <c r="R24" s="174">
        <f>IF(AND(Daten!$AC24&lt;='Material+Limits'!$I$58,Daten!$AD24&gt;='Material+Limits'!$I$58)=TRUE,1,0)</f>
        <v>0</v>
      </c>
      <c r="S24" s="38">
        <f ca="1">IF(Daten!$X24=Sprache!$A$125,1,0)</f>
        <v>1</v>
      </c>
      <c r="T24" s="57" t="str">
        <f ca="1">Sprache!$A$50</f>
        <v>Podnośnik L-80</v>
      </c>
      <c r="U24" s="55">
        <f ca="1">Sprache!$A$64</f>
        <v>0</v>
      </c>
      <c r="V24" s="38">
        <f ca="1">Sprache!$A$64</f>
        <v>0</v>
      </c>
      <c r="W24" s="56" t="str">
        <f ca="1">Sprache!$A$60</f>
        <v>Front lity (drewno/płyta)</v>
      </c>
      <c r="X24" s="25">
        <f ca="1">Sprache!$A$126</f>
        <v>0</v>
      </c>
      <c r="Y24" s="56">
        <f ca="1">Sprache!$A$96</f>
        <v>0</v>
      </c>
      <c r="Z24" s="56">
        <v>430</v>
      </c>
      <c r="AA24" s="57">
        <v>600</v>
      </c>
      <c r="AB24" s="56"/>
      <c r="AC24" s="58">
        <v>2</v>
      </c>
      <c r="AD24" s="59">
        <v>4.5</v>
      </c>
      <c r="AE24" s="56" t="s">
        <v>776</v>
      </c>
      <c r="AF24" s="56" t="str">
        <f ca="1">Sprache!$A$101</f>
        <v>Zestaw (prawy+lewy)</v>
      </c>
      <c r="AG24" s="56" t="str">
        <f ca="1">Sprache!$A$107</f>
        <v>Ramię Typ 5</v>
      </c>
      <c r="AH24" s="56" t="str">
        <f ca="1">Sprache!$A$110</f>
        <v>Siłownik A</v>
      </c>
      <c r="AI24" s="56" t="s">
        <v>26</v>
      </c>
      <c r="AJ24" s="56" t="s">
        <v>26</v>
      </c>
      <c r="AK24" s="56">
        <v>450</v>
      </c>
      <c r="AL24" s="57">
        <v>1200</v>
      </c>
      <c r="AM24" s="30"/>
      <c r="AN24" s="24"/>
      <c r="AO24"/>
      <c r="AR24"/>
      <c r="AS24"/>
      <c r="AT24"/>
      <c r="AU24"/>
      <c r="AV24"/>
    </row>
    <row r="25" spans="1:48" x14ac:dyDescent="0.25">
      <c r="A25" t="str">
        <f t="shared" ca="1" si="1"/>
        <v/>
      </c>
      <c r="B25">
        <f t="shared" ca="1" si="0"/>
        <v>1</v>
      </c>
      <c r="C25" s="79">
        <f>IF('Material+Limits'!$P$4=TRUE,1,0)</f>
        <v>0</v>
      </c>
      <c r="D25" s="39">
        <f>IF(Daten!$O25+Daten!$P25+Daten!$R25=3,1,0)</f>
        <v>1</v>
      </c>
      <c r="E25" s="184">
        <f ca="1">IF(AND('Material+Limits'!$Q$21=TRUE,Daten!N25=1)=TRUE,1,0)</f>
        <v>1</v>
      </c>
      <c r="F25" s="185">
        <f ca="1">IF(AND('Material+Limits'!$Q$25=TRUE,Daten!M25=1)=TRUE,1,0)</f>
        <v>0</v>
      </c>
      <c r="G25" s="185">
        <f ca="1">IF(AND('Material+Limits'!$Q$24=TRUE,Daten!L25=1)=TRUE,1,0)</f>
        <v>0</v>
      </c>
      <c r="H25" s="185">
        <f ca="1">IF(AND('Material+Limits'!$Q$23=TRUE,Daten!K25=1)=TRUE,1,0)</f>
        <v>0</v>
      </c>
      <c r="I25" s="185">
        <f ca="1">IF(AND('Material+Limits'!$Q$22=TRUE,Daten!J25=1)=TRUE,1,0)</f>
        <v>0</v>
      </c>
      <c r="J25" s="155">
        <f ca="1">IF(Daten!$U25=13,1,0)</f>
        <v>0</v>
      </c>
      <c r="K25" s="156">
        <f ca="1">IF(Daten!$U25&lt;&gt;Daten!$V25,1,IF(Daten!$U25=14,1,0))</f>
        <v>0</v>
      </c>
      <c r="L25" s="156">
        <f ca="1">IF(Daten!$U25&lt;&gt;Daten!$V25,1,IF(Daten!$U25=16,1,0))</f>
        <v>0</v>
      </c>
      <c r="M25" s="156">
        <f ca="1">IF(Daten!$V25=17,1,0)</f>
        <v>0</v>
      </c>
      <c r="N25" s="157">
        <f ca="1">IF(Daten!$W25=Sprache!$A$60,1,0)</f>
        <v>1</v>
      </c>
      <c r="O25" s="169">
        <f>IF(AND(Daten!$AK25&lt;=KINVARO!$AW$3,Daten!$AL25&gt;=KINVARO!$AW$3)=TRUE,1,0)</f>
        <v>1</v>
      </c>
      <c r="P25" s="170">
        <f>IF(AND(Daten!$Z25&lt;=KINVARO!$AW$4,Daten!$AA25&gt;=KINVARO!$AW$4)=TRUE,1,0)</f>
        <v>1</v>
      </c>
      <c r="R25" s="170">
        <f>IF(AND(Daten!$AC25&lt;='Material+Limits'!$I$58,Daten!$AD25&gt;='Material+Limits'!$I$58)=TRUE,1,0)</f>
        <v>1</v>
      </c>
      <c r="S25" s="29">
        <f ca="1">IF(Daten!$X25=Sprache!$A$125,1,0)</f>
        <v>1</v>
      </c>
      <c r="T25" s="28" t="str">
        <f ca="1">Sprache!$A$50</f>
        <v>Podnośnik L-80</v>
      </c>
      <c r="U25" s="32">
        <f ca="1">Sprache!$A$64</f>
        <v>0</v>
      </c>
      <c r="V25" s="29">
        <f ca="1">Sprache!$A$64</f>
        <v>0</v>
      </c>
      <c r="W25" s="30" t="str">
        <f ca="1">Sprache!$A$60</f>
        <v>Front lity (drewno/płyta)</v>
      </c>
      <c r="X25" s="30">
        <f ca="1">Sprache!$A$126</f>
        <v>0</v>
      </c>
      <c r="Y25" s="30">
        <f ca="1">Sprache!$A$96</f>
        <v>0</v>
      </c>
      <c r="Z25" s="30">
        <v>430</v>
      </c>
      <c r="AA25" s="28">
        <v>600</v>
      </c>
      <c r="AB25" s="30"/>
      <c r="AC25" s="31">
        <v>4</v>
      </c>
      <c r="AD25" s="53">
        <v>7.5</v>
      </c>
      <c r="AE25" s="30" t="s">
        <v>777</v>
      </c>
      <c r="AF25" s="30" t="str">
        <f ca="1">Sprache!$A$101</f>
        <v>Zestaw (prawy+lewy)</v>
      </c>
      <c r="AG25" s="30" t="str">
        <f ca="1">Sprache!$A$107</f>
        <v>Ramię Typ 5</v>
      </c>
      <c r="AH25" s="30" t="str">
        <f ca="1">Sprache!$A$111</f>
        <v>Siłownik B</v>
      </c>
      <c r="AI25" s="30" t="s">
        <v>26</v>
      </c>
      <c r="AJ25" s="30" t="s">
        <v>26</v>
      </c>
      <c r="AK25" s="30">
        <v>450</v>
      </c>
      <c r="AL25" s="28">
        <v>1200</v>
      </c>
      <c r="AM25" s="30"/>
      <c r="AN25" s="28"/>
      <c r="AO25"/>
      <c r="AR25"/>
      <c r="AS25"/>
      <c r="AT25"/>
      <c r="AU25"/>
      <c r="AV25"/>
    </row>
    <row r="26" spans="1:48" x14ac:dyDescent="0.25">
      <c r="A26" t="str">
        <f t="shared" ca="1" si="1"/>
        <v/>
      </c>
      <c r="B26" t="str">
        <f t="shared" ca="1" si="0"/>
        <v/>
      </c>
      <c r="C26" s="79">
        <f>IF('Material+Limits'!$P$4=TRUE,1,0)</f>
        <v>0</v>
      </c>
      <c r="D26" s="39">
        <f>IF(Daten!$O26+Daten!$P26+Daten!$R26=3,1,0)</f>
        <v>0</v>
      </c>
      <c r="E26" s="184">
        <f ca="1">IF(AND('Material+Limits'!$Q$21=TRUE,Daten!N26=1)=TRUE,1,0)</f>
        <v>1</v>
      </c>
      <c r="F26" s="185">
        <f ca="1">IF(AND('Material+Limits'!$Q$25=TRUE,Daten!M26=1)=TRUE,1,0)</f>
        <v>0</v>
      </c>
      <c r="G26" s="185">
        <f ca="1">IF(AND('Material+Limits'!$Q$24=TRUE,Daten!L26=1)=TRUE,1,0)</f>
        <v>0</v>
      </c>
      <c r="H26" s="185">
        <f ca="1">IF(AND('Material+Limits'!$Q$23=TRUE,Daten!K26=1)=TRUE,1,0)</f>
        <v>0</v>
      </c>
      <c r="I26" s="185">
        <f ca="1">IF(AND('Material+Limits'!$Q$22=TRUE,Daten!J26=1)=TRUE,1,0)</f>
        <v>0</v>
      </c>
      <c r="J26" s="158">
        <f ca="1">IF(Daten!$U26=13,1,0)</f>
        <v>0</v>
      </c>
      <c r="K26" s="159">
        <f ca="1">IF(Daten!$U26&lt;&gt;Daten!$V26,1,IF(Daten!$U26=14,1,0))</f>
        <v>0</v>
      </c>
      <c r="L26" s="159">
        <f ca="1">IF(Daten!$U26&lt;&gt;Daten!$V26,1,IF(Daten!$U26=16,1,0))</f>
        <v>0</v>
      </c>
      <c r="M26" s="159">
        <f ca="1">IF(Daten!$V26=17,1,0)</f>
        <v>0</v>
      </c>
      <c r="N26" s="160">
        <f ca="1">IF(Daten!$W26=Sprache!$A$60,1,0)</f>
        <v>1</v>
      </c>
      <c r="O26" s="171">
        <f>IF(AND(Daten!$AK26&lt;=KINVARO!$AW$3,Daten!$AL26&gt;=KINVARO!$AW$3)=TRUE,1,0)</f>
        <v>1</v>
      </c>
      <c r="P26" s="172">
        <f>IF(AND(Daten!$Z26&lt;=KINVARO!$AW$4,Daten!$AA26&gt;=KINVARO!$AW$4)=TRUE,1,0)</f>
        <v>1</v>
      </c>
      <c r="Q26" s="172"/>
      <c r="R26" s="172">
        <f>IF(AND(Daten!$AC26&lt;='Material+Limits'!$I$58,Daten!$AD26&gt;='Material+Limits'!$I$58)=TRUE,1,0)</f>
        <v>0</v>
      </c>
      <c r="S26" s="23">
        <f ca="1">IF(Daten!$X26=Sprache!$A$125,1,0)</f>
        <v>1</v>
      </c>
      <c r="T26" s="24" t="str">
        <f ca="1">Sprache!$A$50</f>
        <v>Podnośnik L-80</v>
      </c>
      <c r="U26" s="27">
        <f ca="1">Sprache!$A$64</f>
        <v>0</v>
      </c>
      <c r="V26" s="23">
        <f ca="1">Sprache!$A$64</f>
        <v>0</v>
      </c>
      <c r="W26" s="25" t="str">
        <f ca="1">Sprache!$A$60</f>
        <v>Front lity (drewno/płyta)</v>
      </c>
      <c r="X26" s="25">
        <f ca="1">Sprache!$A$126</f>
        <v>0</v>
      </c>
      <c r="Y26" s="25">
        <f ca="1">Sprache!$A$96</f>
        <v>0</v>
      </c>
      <c r="Z26" s="25">
        <v>430</v>
      </c>
      <c r="AA26" s="24">
        <v>600</v>
      </c>
      <c r="AB26" s="25"/>
      <c r="AC26" s="26">
        <v>7</v>
      </c>
      <c r="AD26" s="54">
        <v>14.6</v>
      </c>
      <c r="AE26" s="25" t="s">
        <v>778</v>
      </c>
      <c r="AF26" s="25" t="str">
        <f ca="1">Sprache!$A$101</f>
        <v>Zestaw (prawy+lewy)</v>
      </c>
      <c r="AG26" s="25" t="str">
        <f ca="1">Sprache!$A$107</f>
        <v>Ramię Typ 5</v>
      </c>
      <c r="AH26" s="25" t="str">
        <f ca="1">Sprache!$A$112</f>
        <v>Siłownik C</v>
      </c>
      <c r="AI26" s="25" t="s">
        <v>26</v>
      </c>
      <c r="AJ26" s="25" t="s">
        <v>26</v>
      </c>
      <c r="AK26" s="25">
        <v>450</v>
      </c>
      <c r="AL26" s="24">
        <v>1200</v>
      </c>
      <c r="AM26" s="30"/>
      <c r="AN26" s="24"/>
      <c r="AO26"/>
      <c r="AR26"/>
      <c r="AS26"/>
      <c r="AT26"/>
      <c r="AU26"/>
      <c r="AV26"/>
    </row>
    <row r="27" spans="1:48" x14ac:dyDescent="0.25">
      <c r="A27" t="str">
        <f t="shared" ca="1" si="1"/>
        <v/>
      </c>
      <c r="B27" t="str">
        <f t="shared" ca="1" si="0"/>
        <v/>
      </c>
      <c r="C27" s="79">
        <f>IF('Material+Limits'!$P$4=TRUE,1,0)</f>
        <v>0</v>
      </c>
      <c r="D27" s="39">
        <f>IF(Daten!$O27+Daten!$P27+Daten!$R27=3,1,0)</f>
        <v>0</v>
      </c>
      <c r="E27" s="184">
        <f ca="1">IF(AND('Material+Limits'!$Q$21=TRUE,Daten!N27=1)=TRUE,1,0)</f>
        <v>0</v>
      </c>
      <c r="F27" s="185">
        <f>IF(AND('Material+Limits'!$Q$25=TRUE,Daten!M27=1)=TRUE,1,0)</f>
        <v>0</v>
      </c>
      <c r="G27" s="185">
        <f>IF(AND('Material+Limits'!$Q$24=TRUE,Daten!L27=1)=TRUE,1,0)</f>
        <v>0</v>
      </c>
      <c r="H27" s="185">
        <f>IF(AND('Material+Limits'!$Q$23=TRUE,Daten!K27=1)=TRUE,1,0)</f>
        <v>0</v>
      </c>
      <c r="I27" s="185">
        <f>IF(AND('Material+Limits'!$Q$22=TRUE,Daten!J27=1)=TRUE,1,0)</f>
        <v>0</v>
      </c>
      <c r="J27" s="155">
        <f>IF(Daten!$U27=13,1,0)</f>
        <v>1</v>
      </c>
      <c r="K27" s="156">
        <f>IF(Daten!$U27&lt;&gt;Daten!$V27,1,IF(Daten!$U27=14,1,0))</f>
        <v>1</v>
      </c>
      <c r="L27" s="156">
        <f>IF(Daten!$U27&lt;&gt;Daten!$V27,1,IF(Daten!$U27=16,1,0))</f>
        <v>1</v>
      </c>
      <c r="M27" s="156">
        <f>IF(Daten!$V27=17,1,0)</f>
        <v>1</v>
      </c>
      <c r="N27" s="157">
        <f ca="1">IF(Daten!$W27=Sprache!$A$60,1,0)</f>
        <v>0</v>
      </c>
      <c r="O27" s="169">
        <f>IF(AND(Daten!$AK27&lt;=KINVARO!$AW$3,Daten!$AL27&gt;=KINVARO!$AW$3)=TRUE,1,0)</f>
        <v>1</v>
      </c>
      <c r="P27" s="170">
        <f>IF(AND(Daten!$Z27&lt;=KINVARO!$AW$4,Daten!$AA27&gt;=KINVARO!$AW$4)=TRUE,1,0)</f>
        <v>1</v>
      </c>
      <c r="R27" s="170">
        <f>IF(AND(Daten!$AC27&lt;='Material+Limits'!$I$58,Daten!$AD27&gt;='Material+Limits'!$I$58)=TRUE,1,0)</f>
        <v>0</v>
      </c>
      <c r="S27" s="29">
        <f ca="1">IF(Daten!$X27=Sprache!$A$125,1,0)</f>
        <v>1</v>
      </c>
      <c r="T27" s="28" t="str">
        <f ca="1">Sprache!$A$50</f>
        <v>Podnośnik L-80</v>
      </c>
      <c r="U27" s="32">
        <v>13</v>
      </c>
      <c r="V27" s="29">
        <v>17</v>
      </c>
      <c r="W27" s="30">
        <f ca="1">Sprache!$A$131</f>
        <v>0</v>
      </c>
      <c r="X27" s="30">
        <f ca="1">Sprache!$A$126</f>
        <v>0</v>
      </c>
      <c r="Y27" s="30">
        <f ca="1">Sprache!$A$96</f>
        <v>0</v>
      </c>
      <c r="Z27" s="30">
        <v>430</v>
      </c>
      <c r="AA27" s="28">
        <v>600</v>
      </c>
      <c r="AB27" s="30"/>
      <c r="AC27" s="31">
        <v>2</v>
      </c>
      <c r="AD27" s="53">
        <v>4.5</v>
      </c>
      <c r="AE27" s="30" t="s">
        <v>776</v>
      </c>
      <c r="AF27" s="30" t="str">
        <f ca="1">Sprache!$A$101</f>
        <v>Zestaw (prawy+lewy)</v>
      </c>
      <c r="AG27" s="30" t="str">
        <f ca="1">Sprache!$A$107</f>
        <v>Ramię Typ 5</v>
      </c>
      <c r="AH27" s="30" t="str">
        <f ca="1">Sprache!$A$110</f>
        <v>Siłownik A</v>
      </c>
      <c r="AI27" s="30" t="str">
        <f ca="1">Sprache!$A$133</f>
        <v>Adapter do ram aluminiowych, do Kinvaro L-80 zest.</v>
      </c>
      <c r="AJ27" s="30" t="s">
        <v>819</v>
      </c>
      <c r="AK27" s="30">
        <v>450</v>
      </c>
      <c r="AL27" s="28">
        <v>1200</v>
      </c>
      <c r="AM27" s="30"/>
      <c r="AN27" s="28"/>
      <c r="AO27"/>
      <c r="AR27"/>
      <c r="AS27"/>
      <c r="AT27"/>
      <c r="AU27"/>
      <c r="AV27"/>
    </row>
    <row r="28" spans="1:48" x14ac:dyDescent="0.25">
      <c r="A28" t="str">
        <f t="shared" ca="1" si="1"/>
        <v/>
      </c>
      <c r="B28" t="str">
        <f t="shared" ca="1" si="0"/>
        <v/>
      </c>
      <c r="C28" s="79">
        <f>IF('Material+Limits'!$P$4=TRUE,1,0)</f>
        <v>0</v>
      </c>
      <c r="D28" s="39">
        <f>IF(Daten!$O28+Daten!$P28+Daten!$R28=3,1,0)</f>
        <v>1</v>
      </c>
      <c r="E28" s="184">
        <f ca="1">IF(AND('Material+Limits'!$Q$21=TRUE,Daten!N28=1)=TRUE,1,0)</f>
        <v>0</v>
      </c>
      <c r="F28" s="185">
        <f>IF(AND('Material+Limits'!$Q$25=TRUE,Daten!M28=1)=TRUE,1,0)</f>
        <v>0</v>
      </c>
      <c r="G28" s="185">
        <f>IF(AND('Material+Limits'!$Q$24=TRUE,Daten!L28=1)=TRUE,1,0)</f>
        <v>0</v>
      </c>
      <c r="H28" s="185">
        <f>IF(AND('Material+Limits'!$Q$23=TRUE,Daten!K28=1)=TRUE,1,0)</f>
        <v>0</v>
      </c>
      <c r="I28" s="185">
        <f>IF(AND('Material+Limits'!$Q$22=TRUE,Daten!J28=1)=TRUE,1,0)</f>
        <v>0</v>
      </c>
      <c r="J28" s="158">
        <f>IF(Daten!$U28=13,1,0)</f>
        <v>1</v>
      </c>
      <c r="K28" s="159">
        <f>IF(Daten!$U28&lt;&gt;Daten!$V28,1,IF(Daten!$U28=14,1,0))</f>
        <v>1</v>
      </c>
      <c r="L28" s="159">
        <f>IF(Daten!$U28&lt;&gt;Daten!$V28,1,IF(Daten!$U28=16,1,0))</f>
        <v>1</v>
      </c>
      <c r="M28" s="159">
        <f>IF(Daten!$V28=17,1,0)</f>
        <v>1</v>
      </c>
      <c r="N28" s="160">
        <f ca="1">IF(Daten!$W28=Sprache!$A$60,1,0)</f>
        <v>0</v>
      </c>
      <c r="O28" s="171">
        <f>IF(AND(Daten!$AK28&lt;=KINVARO!$AW$3,Daten!$AL28&gt;=KINVARO!$AW$3)=TRUE,1,0)</f>
        <v>1</v>
      </c>
      <c r="P28" s="172">
        <f>IF(AND(Daten!$Z28&lt;=KINVARO!$AW$4,Daten!$AA28&gt;=KINVARO!$AW$4)=TRUE,1,0)</f>
        <v>1</v>
      </c>
      <c r="Q28" s="172"/>
      <c r="R28" s="172">
        <f>IF(AND(Daten!$AC28&lt;='Material+Limits'!$I$58,Daten!$AD28&gt;='Material+Limits'!$I$58)=TRUE,1,0)</f>
        <v>1</v>
      </c>
      <c r="S28" s="23">
        <f ca="1">IF(Daten!$X28=Sprache!$A$125,1,0)</f>
        <v>1</v>
      </c>
      <c r="T28" s="24" t="str">
        <f ca="1">Sprache!$A$50</f>
        <v>Podnośnik L-80</v>
      </c>
      <c r="U28" s="27">
        <v>13</v>
      </c>
      <c r="V28" s="23">
        <v>17</v>
      </c>
      <c r="W28" s="25">
        <f ca="1">Sprache!$A$131</f>
        <v>0</v>
      </c>
      <c r="X28" s="25">
        <f ca="1">Sprache!$A$126</f>
        <v>0</v>
      </c>
      <c r="Y28" s="25">
        <f ca="1">Sprache!$A$96</f>
        <v>0</v>
      </c>
      <c r="Z28" s="25">
        <v>430</v>
      </c>
      <c r="AA28" s="24">
        <v>600</v>
      </c>
      <c r="AB28" s="25"/>
      <c r="AC28" s="26">
        <v>4</v>
      </c>
      <c r="AD28" s="54">
        <v>7.5</v>
      </c>
      <c r="AE28" s="25" t="s">
        <v>777</v>
      </c>
      <c r="AF28" s="25" t="str">
        <f ca="1">Sprache!$A$101</f>
        <v>Zestaw (prawy+lewy)</v>
      </c>
      <c r="AG28" s="25" t="str">
        <f ca="1">Sprache!$A$107</f>
        <v>Ramię Typ 5</v>
      </c>
      <c r="AH28" s="25" t="str">
        <f ca="1">Sprache!$A$111</f>
        <v>Siłownik B</v>
      </c>
      <c r="AI28" s="25" t="str">
        <f ca="1">Sprache!$A$133</f>
        <v>Adapter do ram aluminiowych, do Kinvaro L-80 zest.</v>
      </c>
      <c r="AJ28" s="25" t="s">
        <v>819</v>
      </c>
      <c r="AK28" s="25">
        <v>450</v>
      </c>
      <c r="AL28" s="24">
        <v>1200</v>
      </c>
      <c r="AM28" s="30"/>
      <c r="AN28" s="24"/>
      <c r="AO28"/>
      <c r="AR28"/>
      <c r="AS28"/>
      <c r="AT28"/>
      <c r="AU28"/>
      <c r="AV28"/>
    </row>
    <row r="29" spans="1:48" s="9" customFormat="1" ht="15.75" thickBot="1" x14ac:dyDescent="0.3">
      <c r="A29" t="str">
        <f t="shared" ca="1" si="1"/>
        <v/>
      </c>
      <c r="B29" t="str">
        <f t="shared" ca="1" si="0"/>
        <v/>
      </c>
      <c r="C29" s="81">
        <f>IF('Material+Limits'!$P$4=TRUE,1,0)</f>
        <v>0</v>
      </c>
      <c r="D29" s="39">
        <f>IF(Daten!$O29+Daten!$P29+Daten!$R29=3,1,0)</f>
        <v>0</v>
      </c>
      <c r="E29" s="184">
        <f ca="1">IF(AND('Material+Limits'!$Q$21=TRUE,Daten!N29=1)=TRUE,1,0)</f>
        <v>0</v>
      </c>
      <c r="F29" s="185">
        <f>IF(AND('Material+Limits'!$Q$25=TRUE,Daten!M29=1)=TRUE,1,0)</f>
        <v>0</v>
      </c>
      <c r="G29" s="185">
        <f>IF(AND('Material+Limits'!$Q$24=TRUE,Daten!L29=1)=TRUE,1,0)</f>
        <v>0</v>
      </c>
      <c r="H29" s="185">
        <f>IF(AND('Material+Limits'!$Q$23=TRUE,Daten!K29=1)=TRUE,1,0)</f>
        <v>0</v>
      </c>
      <c r="I29" s="185">
        <f>IF(AND('Material+Limits'!$Q$22=TRUE,Daten!J29=1)=TRUE,1,0)</f>
        <v>0</v>
      </c>
      <c r="J29" s="155">
        <f>IF(Daten!$U29=13,1,0)</f>
        <v>1</v>
      </c>
      <c r="K29" s="156">
        <f>IF(Daten!$U29&lt;&gt;Daten!$V29,1,IF(Daten!$U29=14,1,0))</f>
        <v>1</v>
      </c>
      <c r="L29" s="156">
        <f>IF(Daten!$U29&lt;&gt;Daten!$V29,1,IF(Daten!$U29=16,1,0))</f>
        <v>1</v>
      </c>
      <c r="M29" s="156">
        <f>IF(Daten!$V29=17,1,0)</f>
        <v>1</v>
      </c>
      <c r="N29" s="157">
        <f ca="1">IF(Daten!$W29=Sprache!$A$60,1,0)</f>
        <v>0</v>
      </c>
      <c r="O29" s="169">
        <f>IF(AND(Daten!$AK29&lt;=KINVARO!$AW$3,Daten!$AL29&gt;=KINVARO!$AW$3)=TRUE,1,0)</f>
        <v>1</v>
      </c>
      <c r="P29" s="170">
        <f>IF(AND(Daten!$Z29&lt;=KINVARO!$AW$4,Daten!$AA29&gt;=KINVARO!$AW$4)=TRUE,1,0)</f>
        <v>1</v>
      </c>
      <c r="Q29" s="170"/>
      <c r="R29" s="170">
        <f>IF(AND(Daten!$AC29&lt;='Material+Limits'!$I$58,Daten!$AD29&gt;='Material+Limits'!$I$58)=TRUE,1,0)</f>
        <v>0</v>
      </c>
      <c r="S29" s="29">
        <f ca="1">IF(Daten!$X29=Sprache!$A$125,1,0)</f>
        <v>1</v>
      </c>
      <c r="T29" s="28" t="str">
        <f ca="1">Sprache!$A$50</f>
        <v>Podnośnik L-80</v>
      </c>
      <c r="U29" s="32">
        <v>13</v>
      </c>
      <c r="V29" s="29">
        <v>17</v>
      </c>
      <c r="W29" s="30">
        <f ca="1">Sprache!$A$131</f>
        <v>0</v>
      </c>
      <c r="X29" s="30">
        <f ca="1">Sprache!$A$126</f>
        <v>0</v>
      </c>
      <c r="Y29" s="30">
        <f ca="1">Sprache!$A$96</f>
        <v>0</v>
      </c>
      <c r="Z29" s="30">
        <v>430</v>
      </c>
      <c r="AA29" s="28">
        <v>600</v>
      </c>
      <c r="AB29" s="30"/>
      <c r="AC29" s="31">
        <v>7</v>
      </c>
      <c r="AD29" s="53">
        <v>14.6</v>
      </c>
      <c r="AE29" s="30" t="s">
        <v>778</v>
      </c>
      <c r="AF29" s="30" t="str">
        <f ca="1">Sprache!$A$101</f>
        <v>Zestaw (prawy+lewy)</v>
      </c>
      <c r="AG29" s="30" t="str">
        <f ca="1">Sprache!$A$107</f>
        <v>Ramię Typ 5</v>
      </c>
      <c r="AH29" s="30" t="str">
        <f ca="1">Sprache!$A$112</f>
        <v>Siłownik C</v>
      </c>
      <c r="AI29" s="30" t="str">
        <f ca="1">Sprache!$A$133</f>
        <v>Adapter do ram aluminiowych, do Kinvaro L-80 zest.</v>
      </c>
      <c r="AJ29" s="30" t="s">
        <v>819</v>
      </c>
      <c r="AK29" s="30">
        <v>450</v>
      </c>
      <c r="AL29" s="28">
        <v>1200</v>
      </c>
      <c r="AM29" s="30"/>
      <c r="AN29" s="28"/>
    </row>
    <row r="30" spans="1:48" ht="15.75" thickTop="1" x14ac:dyDescent="0.25">
      <c r="A30">
        <f t="shared" ca="1" si="1"/>
        <v>1</v>
      </c>
      <c r="B30">
        <f t="shared" ca="1" si="0"/>
        <v>1</v>
      </c>
      <c r="C30" s="79">
        <f>IF('Material+Limits'!$P$3=TRUE,1,0)</f>
        <v>1</v>
      </c>
      <c r="D30" s="39">
        <f>IF(Daten!$O30+Daten!$P30+Daten!$R30=3,1,0)</f>
        <v>1</v>
      </c>
      <c r="E30" s="184">
        <f ca="1">IF(AND('Material+Limits'!$Q$21=TRUE,Daten!N30=1)=TRUE,1,0)</f>
        <v>1</v>
      </c>
      <c r="F30" s="185">
        <f ca="1">IF(AND('Material+Limits'!$Q$25=TRUE,Daten!M30=1)=TRUE,1,0)</f>
        <v>0</v>
      </c>
      <c r="G30" s="185">
        <f ca="1">IF(AND('Material+Limits'!$Q$24=TRUE,Daten!L30=1)=TRUE,1,0)</f>
        <v>0</v>
      </c>
      <c r="H30" s="185">
        <f ca="1">IF(AND('Material+Limits'!$Q$23=TRUE,Daten!K30=1)=TRUE,1,0)</f>
        <v>0</v>
      </c>
      <c r="I30" s="185">
        <f ca="1">IF(AND('Material+Limits'!$Q$22=TRUE,Daten!J30=1)=TRUE,1,0)</f>
        <v>0</v>
      </c>
      <c r="J30" s="158">
        <f ca="1">IF(Daten!$U30=13,1,0)</f>
        <v>0</v>
      </c>
      <c r="K30" s="159">
        <f ca="1">IF(Daten!$U30&lt;&gt;Daten!$V30,1,IF(Daten!$U30=14,1,0))</f>
        <v>0</v>
      </c>
      <c r="L30" s="159">
        <f ca="1">IF(Daten!$U30&lt;&gt;Daten!$V30,1,IF(Daten!$U30=16,1,0))</f>
        <v>0</v>
      </c>
      <c r="M30" s="159">
        <f ca="1">IF(Daten!$V30=17,1,0)</f>
        <v>0</v>
      </c>
      <c r="N30" s="160">
        <f ca="1">IF(Daten!$W30=Sprache!$A$60,1,0)</f>
        <v>1</v>
      </c>
      <c r="O30" s="175">
        <f>IF(AND(Daten!$AK30&lt;=KINVARO!$AW$3,Daten!$AL30&gt;=KINVARO!$AW$3)=TRUE,1,0)</f>
        <v>1</v>
      </c>
      <c r="P30" s="176">
        <f>IF(AND(Daten!$Z30&lt;=KINVARO!$AW$4,Daten!$AA30&gt;=KINVARO!$AW$4)=TRUE,1,0)</f>
        <v>1</v>
      </c>
      <c r="Q30" s="176"/>
      <c r="R30" s="176">
        <f>IF(AND(Daten!$AC30&lt;='Material+Limits'!$I$58,Daten!$AD30&gt;='Material+Limits'!$I$58)=TRUE,1,0)</f>
        <v>1</v>
      </c>
      <c r="S30" s="61">
        <f ca="1">IF(Daten!$X30=Sprache!$A$125,1,0)</f>
        <v>1</v>
      </c>
      <c r="T30" s="63" t="str">
        <f ca="1">Sprache!$A$51</f>
        <v xml:space="preserve">Podnośnik F-20 </v>
      </c>
      <c r="U30" s="60">
        <f ca="1">Sprache!$A$64</f>
        <v>0</v>
      </c>
      <c r="V30" s="61">
        <f ca="1">Sprache!$A$64</f>
        <v>0</v>
      </c>
      <c r="W30" s="62" t="str">
        <f ca="1">Sprache!$A$60</f>
        <v>Front lity (drewno/płyta)</v>
      </c>
      <c r="X30" s="25">
        <f ca="1">Sprache!$A$126</f>
        <v>0</v>
      </c>
      <c r="Y30" s="62">
        <f ca="1">Sprache!$A$96</f>
        <v>0</v>
      </c>
      <c r="Z30" s="62">
        <v>520</v>
      </c>
      <c r="AA30" s="63">
        <v>559</v>
      </c>
      <c r="AB30" s="62"/>
      <c r="AC30" s="64">
        <v>4.5999999999999996</v>
      </c>
      <c r="AD30" s="65">
        <v>13.8</v>
      </c>
      <c r="AE30" s="62" t="s">
        <v>779</v>
      </c>
      <c r="AF30" s="62" t="str">
        <f ca="1">Sprache!$A$101</f>
        <v>Zestaw (prawy+lewy)</v>
      </c>
      <c r="AG30" s="62" t="str">
        <f ca="1">Sprache!$A$104</f>
        <v>Ramię Typ 2</v>
      </c>
      <c r="AH30" s="62" t="str">
        <f ca="1">Sprache!$A$111</f>
        <v>Siłownik B</v>
      </c>
      <c r="AI30" s="62" t="s">
        <v>26</v>
      </c>
      <c r="AJ30" s="62" t="s">
        <v>26</v>
      </c>
      <c r="AK30" s="62">
        <v>400</v>
      </c>
      <c r="AL30" s="63">
        <v>1200</v>
      </c>
      <c r="AM30" s="30" t="str">
        <f ca="1">CONCATENATE("TIOMOS 120° ",Sprache!$A$88)</f>
        <v>TIOMOS 120° zawias</v>
      </c>
      <c r="AN30" s="30" t="str">
        <f ca="1">CONCATENATE("1D° ",Sprache!$A$200)</f>
        <v>1D° prowadnik</v>
      </c>
      <c r="AO30"/>
      <c r="AR30"/>
      <c r="AS30"/>
      <c r="AT30"/>
      <c r="AU30"/>
      <c r="AV30"/>
    </row>
    <row r="31" spans="1:48" s="5" customFormat="1" x14ac:dyDescent="0.25">
      <c r="A31" t="str">
        <f t="shared" ca="1" si="1"/>
        <v/>
      </c>
      <c r="B31" t="str">
        <f t="shared" ca="1" si="0"/>
        <v/>
      </c>
      <c r="C31" s="79">
        <f>IF('Material+Limits'!$P$3=TRUE,1,0)</f>
        <v>1</v>
      </c>
      <c r="D31" s="39">
        <f>IF(Daten!$O31+Daten!$P31+Daten!$R31=3,1,0)</f>
        <v>1</v>
      </c>
      <c r="E31" s="184">
        <f ca="1">IF(AND('Material+Limits'!$Q$21=TRUE,Daten!N31=1)=TRUE,1,0)</f>
        <v>0</v>
      </c>
      <c r="F31" s="185">
        <f>IF(AND('Material+Limits'!$Q$25=TRUE,Daten!M31=1)=TRUE,1,0)</f>
        <v>0</v>
      </c>
      <c r="G31" s="185">
        <f>IF(AND('Material+Limits'!$Q$24=TRUE,Daten!L31=1)=TRUE,1,0)</f>
        <v>0</v>
      </c>
      <c r="H31" s="185">
        <f>IF(AND('Material+Limits'!$Q$23=TRUE,Daten!K31=1)=TRUE,1,0)</f>
        <v>0</v>
      </c>
      <c r="I31" s="185">
        <f>IF(AND('Material+Limits'!$Q$22=TRUE,Daten!J31=1)=TRUE,1,0)</f>
        <v>0</v>
      </c>
      <c r="J31" s="155">
        <f>IF(Daten!$U31=13,1,0)</f>
        <v>1</v>
      </c>
      <c r="K31" s="156">
        <f>IF(Daten!$U31&lt;&gt;Daten!$V31,1,IF(Daten!$U31=14,1,0))</f>
        <v>1</v>
      </c>
      <c r="L31" s="156">
        <f>IF(Daten!$U31&lt;&gt;Daten!$V31,1,IF(Daten!$U31=16,1,0))</f>
        <v>1</v>
      </c>
      <c r="M31" s="156">
        <f>IF(Daten!$V31=17,1,0)</f>
        <v>1</v>
      </c>
      <c r="N31" s="157">
        <f ca="1">IF(Daten!$W31=Sprache!$A$60,1,0)</f>
        <v>0</v>
      </c>
      <c r="O31" s="169">
        <f>IF(AND(Daten!$AK31&lt;=KINVARO!$AW$3,Daten!$AL31&gt;=KINVARO!$AW$3)=TRUE,1,0)</f>
        <v>1</v>
      </c>
      <c r="P31" s="170">
        <f>IF(AND(Daten!$Z31&lt;=KINVARO!$AW$4,Daten!$AA31&gt;=KINVARO!$AW$4)=TRUE,1,0)</f>
        <v>1</v>
      </c>
      <c r="Q31" s="170"/>
      <c r="R31" s="170">
        <f>IF(AND(Daten!$AC31&lt;='Material+Limits'!$I$58,Daten!$AD31&gt;='Material+Limits'!$I$58)=TRUE,1,0)</f>
        <v>1</v>
      </c>
      <c r="S31" s="29">
        <f ca="1">IF(Daten!$X31=Sprache!$A$125,1,0)</f>
        <v>1</v>
      </c>
      <c r="T31" s="28" t="str">
        <f ca="1">Sprache!$A$51</f>
        <v xml:space="preserve">Podnośnik F-20 </v>
      </c>
      <c r="U31" s="32">
        <v>13</v>
      </c>
      <c r="V31" s="29">
        <v>17</v>
      </c>
      <c r="W31" s="30">
        <f ca="1">Sprache!$A$131</f>
        <v>0</v>
      </c>
      <c r="X31" s="30">
        <f ca="1">Sprache!$A$126</f>
        <v>0</v>
      </c>
      <c r="Y31" s="30">
        <f ca="1">Sprache!$A$96</f>
        <v>0</v>
      </c>
      <c r="Z31" s="30">
        <v>520</v>
      </c>
      <c r="AA31" s="28">
        <v>559</v>
      </c>
      <c r="AB31" s="30"/>
      <c r="AC31" s="31">
        <v>4.5999999999999996</v>
      </c>
      <c r="AD31" s="53">
        <v>13.8</v>
      </c>
      <c r="AE31" s="30" t="s">
        <v>779</v>
      </c>
      <c r="AF31" s="30" t="str">
        <f ca="1">Sprache!$A$101</f>
        <v>Zestaw (prawy+lewy)</v>
      </c>
      <c r="AG31" s="30" t="str">
        <f ca="1">Sprache!$A$104</f>
        <v>Ramię Typ 2</v>
      </c>
      <c r="AH31" s="30" t="str">
        <f ca="1">Sprache!$A$111</f>
        <v>Siłownik B</v>
      </c>
      <c r="AI31" s="30" t="str">
        <f ca="1">Sprache!$A$134</f>
        <v>Adapter do ram aluminiowych, do Kinvaro F-20 zest.</v>
      </c>
      <c r="AJ31" s="30" t="s">
        <v>820</v>
      </c>
      <c r="AK31" s="30">
        <v>400</v>
      </c>
      <c r="AL31" s="28">
        <v>1200</v>
      </c>
      <c r="AM31" s="30" t="str">
        <f ca="1">CONCATENATE("TIOMOS 110° ",Sprache!$A$201)</f>
        <v>TIOMOS 110° zawias do ramy aluminiowej</v>
      </c>
      <c r="AN31" s="30" t="str">
        <f ca="1">CONCATENATE("1D° ",Sprache!$A$200)</f>
        <v>1D° prowadnik</v>
      </c>
    </row>
    <row r="32" spans="1:48" x14ac:dyDescent="0.25">
      <c r="A32" t="str">
        <f t="shared" ca="1" si="1"/>
        <v/>
      </c>
      <c r="B32" t="str">
        <f t="shared" ca="1" si="0"/>
        <v/>
      </c>
      <c r="C32" s="79">
        <f>IF('Material+Limits'!$P$3=TRUE,1,0)</f>
        <v>1</v>
      </c>
      <c r="D32" s="39">
        <f>IF(Daten!$O32+Daten!$P32+Daten!$R32=3,1,0)</f>
        <v>0</v>
      </c>
      <c r="E32" s="184">
        <f ca="1">IF(AND('Material+Limits'!$Q$21=TRUE,Daten!N32=1)=TRUE,1,0)</f>
        <v>1</v>
      </c>
      <c r="F32" s="185">
        <f ca="1">IF(AND('Material+Limits'!$Q$25=TRUE,Daten!M32=1)=TRUE,1,0)</f>
        <v>0</v>
      </c>
      <c r="G32" s="185">
        <f ca="1">IF(AND('Material+Limits'!$Q$24=TRUE,Daten!L32=1)=TRUE,1,0)</f>
        <v>0</v>
      </c>
      <c r="H32" s="185">
        <f ca="1">IF(AND('Material+Limits'!$Q$23=TRUE,Daten!K32=1)=TRUE,1,0)</f>
        <v>0</v>
      </c>
      <c r="I32" s="185">
        <f ca="1">IF(AND('Material+Limits'!$Q$22=TRUE,Daten!J32=1)=TRUE,1,0)</f>
        <v>0</v>
      </c>
      <c r="J32" s="158">
        <f ca="1">IF(Daten!$U32=13,1,0)</f>
        <v>0</v>
      </c>
      <c r="K32" s="159">
        <f ca="1">IF(Daten!$U32&lt;&gt;Daten!$V32,1,IF(Daten!$U32=14,1,0))</f>
        <v>0</v>
      </c>
      <c r="L32" s="159">
        <f ca="1">IF(Daten!$U32&lt;&gt;Daten!$V32,1,IF(Daten!$U32=16,1,0))</f>
        <v>0</v>
      </c>
      <c r="M32" s="159">
        <f ca="1">IF(Daten!$V32=17,1,0)</f>
        <v>0</v>
      </c>
      <c r="N32" s="160">
        <f ca="1">IF(Daten!$W32=Sprache!$A$60,1,0)</f>
        <v>1</v>
      </c>
      <c r="O32" s="173">
        <f>IF(AND(Daten!$AK32&lt;=KINVARO!$AW$3,Daten!$AL32&gt;=KINVARO!$AW$3)=TRUE,1,0)</f>
        <v>1</v>
      </c>
      <c r="P32" s="174">
        <f>IF(AND(Daten!$Z32&lt;=KINVARO!$AW$4,Daten!$AA32&gt;=KINVARO!$AW$4)=TRUE,1,0)</f>
        <v>0</v>
      </c>
      <c r="Q32" s="174"/>
      <c r="R32" s="174">
        <f>IF(AND(Daten!$AC32&lt;='Material+Limits'!$I$58,Daten!$AD32&gt;='Material+Limits'!$I$58)=TRUE,1,0)</f>
        <v>1</v>
      </c>
      <c r="S32" s="38">
        <f ca="1">IF(Daten!$X32=Sprache!$A$125,1,0)</f>
        <v>1</v>
      </c>
      <c r="T32" s="57" t="str">
        <f ca="1">Sprache!$A$51</f>
        <v xml:space="preserve">Podnośnik F-20 </v>
      </c>
      <c r="U32" s="55">
        <f ca="1">Sprache!$A$64</f>
        <v>0</v>
      </c>
      <c r="V32" s="38">
        <f ca="1">Sprache!$A$64</f>
        <v>0</v>
      </c>
      <c r="W32" s="56" t="str">
        <f ca="1">Sprache!$A$60</f>
        <v>Front lity (drewno/płyta)</v>
      </c>
      <c r="X32" s="25">
        <f ca="1">Sprache!$A$126</f>
        <v>0</v>
      </c>
      <c r="Y32" s="56">
        <f ca="1">Sprache!$A$96</f>
        <v>0</v>
      </c>
      <c r="Z32" s="56">
        <v>560</v>
      </c>
      <c r="AA32" s="57">
        <v>599</v>
      </c>
      <c r="AB32" s="56"/>
      <c r="AC32" s="58">
        <v>4.4000000000000004</v>
      </c>
      <c r="AD32" s="59">
        <v>12.6</v>
      </c>
      <c r="AE32" s="56" t="s">
        <v>780</v>
      </c>
      <c r="AF32" s="56" t="str">
        <f ca="1">Sprache!$A$101</f>
        <v>Zestaw (prawy+lewy)</v>
      </c>
      <c r="AG32" s="56" t="str">
        <f ca="1">Sprache!$A$105</f>
        <v>Ramię Typ 3</v>
      </c>
      <c r="AH32" s="56" t="str">
        <f ca="1">Sprache!$A$111</f>
        <v>Siłownik B</v>
      </c>
      <c r="AI32" s="56" t="s">
        <v>26</v>
      </c>
      <c r="AJ32" s="56" t="s">
        <v>26</v>
      </c>
      <c r="AK32" s="56">
        <v>400</v>
      </c>
      <c r="AL32" s="57">
        <v>1200</v>
      </c>
      <c r="AM32" s="30" t="str">
        <f ca="1">CONCATENATE("TIOMOS 120° ",Sprache!$A$88)</f>
        <v>TIOMOS 120° zawias</v>
      </c>
      <c r="AN32" s="30" t="str">
        <f ca="1">CONCATENATE("1D° ",Sprache!$A$200)</f>
        <v>1D° prowadnik</v>
      </c>
      <c r="AO32"/>
      <c r="AR32"/>
      <c r="AS32"/>
      <c r="AT32"/>
      <c r="AU32"/>
      <c r="AV32"/>
    </row>
    <row r="33" spans="1:48" x14ac:dyDescent="0.25">
      <c r="A33" t="str">
        <f t="shared" ca="1" si="1"/>
        <v/>
      </c>
      <c r="B33" t="str">
        <f t="shared" ca="1" si="0"/>
        <v/>
      </c>
      <c r="C33" s="79">
        <f>IF('Material+Limits'!$P$3=TRUE,1,0)</f>
        <v>1</v>
      </c>
      <c r="D33" s="39">
        <f>IF(Daten!$O33+Daten!$P33+Daten!$R33=3,1,0)</f>
        <v>0</v>
      </c>
      <c r="E33" s="184">
        <f ca="1">IF(AND('Material+Limits'!$Q$21=TRUE,Daten!N33=1)=TRUE,1,0)</f>
        <v>1</v>
      </c>
      <c r="F33" s="185">
        <f ca="1">IF(AND('Material+Limits'!$Q$25=TRUE,Daten!M33=1)=TRUE,1,0)</f>
        <v>0</v>
      </c>
      <c r="G33" s="185">
        <f ca="1">IF(AND('Material+Limits'!$Q$24=TRUE,Daten!L33=1)=TRUE,1,0)</f>
        <v>0</v>
      </c>
      <c r="H33" s="185">
        <f ca="1">IF(AND('Material+Limits'!$Q$23=TRUE,Daten!K33=1)=TRUE,1,0)</f>
        <v>0</v>
      </c>
      <c r="I33" s="185">
        <f ca="1">IF(AND('Material+Limits'!$Q$22=TRUE,Daten!J33=1)=TRUE,1,0)</f>
        <v>0</v>
      </c>
      <c r="J33" s="155">
        <f ca="1">IF(Daten!$U33=13,1,0)</f>
        <v>0</v>
      </c>
      <c r="K33" s="156">
        <f ca="1">IF(Daten!$U33&lt;&gt;Daten!$V33,1,IF(Daten!$U33=14,1,0))</f>
        <v>0</v>
      </c>
      <c r="L33" s="156">
        <f ca="1">IF(Daten!$U33&lt;&gt;Daten!$V33,1,IF(Daten!$U33=16,1,0))</f>
        <v>0</v>
      </c>
      <c r="M33" s="156">
        <f ca="1">IF(Daten!$V33=17,1,0)</f>
        <v>0</v>
      </c>
      <c r="N33" s="157">
        <f ca="1">IF(Daten!$W33=Sprache!$A$60,1,0)</f>
        <v>1</v>
      </c>
      <c r="O33" s="169">
        <f>IF(AND(Daten!$AK33&lt;=KINVARO!$AW$3,Daten!$AL33&gt;=KINVARO!$AW$3)=TRUE,1,0)</f>
        <v>1</v>
      </c>
      <c r="P33" s="170">
        <f>IF(AND(Daten!$Z33&lt;=KINVARO!$AW$4,Daten!$AA33&gt;=KINVARO!$AW$4)=TRUE,1,0)</f>
        <v>0</v>
      </c>
      <c r="R33" s="170">
        <f>IF(AND(Daten!$AC33&lt;='Material+Limits'!$I$58,Daten!$AD33&gt;='Material+Limits'!$I$58)=TRUE,1,0)</f>
        <v>0</v>
      </c>
      <c r="S33" s="29">
        <f ca="1">IF(Daten!$X33=Sprache!$A$125,1,0)</f>
        <v>1</v>
      </c>
      <c r="T33" s="28" t="str">
        <f ca="1">Sprache!$A$51</f>
        <v xml:space="preserve">Podnośnik F-20 </v>
      </c>
      <c r="U33" s="32">
        <f ca="1">Sprache!$A$64</f>
        <v>0</v>
      </c>
      <c r="V33" s="29">
        <f ca="1">Sprache!$A$64</f>
        <v>0</v>
      </c>
      <c r="W33" s="30" t="str">
        <f ca="1">Sprache!$A$60</f>
        <v>Front lity (drewno/płyta)</v>
      </c>
      <c r="X33" s="30">
        <f ca="1">Sprache!$A$126</f>
        <v>0</v>
      </c>
      <c r="Y33" s="30">
        <f ca="1">Sprache!$A$96</f>
        <v>0</v>
      </c>
      <c r="Z33" s="30">
        <v>560</v>
      </c>
      <c r="AA33" s="28">
        <v>599</v>
      </c>
      <c r="AB33" s="30"/>
      <c r="AC33" s="31">
        <v>7</v>
      </c>
      <c r="AD33" s="53">
        <v>14.7</v>
      </c>
      <c r="AE33" s="30" t="s">
        <v>781</v>
      </c>
      <c r="AF33" s="30" t="str">
        <f ca="1">Sprache!$A$101</f>
        <v>Zestaw (prawy+lewy)</v>
      </c>
      <c r="AG33" s="30" t="str">
        <f ca="1">Sprache!$A$105</f>
        <v>Ramię Typ 3</v>
      </c>
      <c r="AH33" s="30" t="str">
        <f ca="1">Sprache!$A$112</f>
        <v>Siłownik C</v>
      </c>
      <c r="AI33" s="30" t="s">
        <v>26</v>
      </c>
      <c r="AJ33" s="30" t="s">
        <v>26</v>
      </c>
      <c r="AK33" s="30">
        <v>400</v>
      </c>
      <c r="AL33" s="28">
        <v>1200</v>
      </c>
      <c r="AM33" s="30" t="str">
        <f ca="1">CONCATENATE("TIOMOS 120° ",Sprache!$A$88)</f>
        <v>TIOMOS 120° zawias</v>
      </c>
      <c r="AN33" s="30" t="str">
        <f ca="1">CONCATENATE("1D° ",Sprache!$A$200)</f>
        <v>1D° prowadnik</v>
      </c>
      <c r="AO33"/>
      <c r="AR33"/>
      <c r="AS33"/>
      <c r="AT33"/>
      <c r="AU33"/>
      <c r="AV33"/>
    </row>
    <row r="34" spans="1:48" x14ac:dyDescent="0.25">
      <c r="A34" t="str">
        <f t="shared" ca="1" si="1"/>
        <v/>
      </c>
      <c r="B34" t="str">
        <f t="shared" ca="1" si="0"/>
        <v/>
      </c>
      <c r="C34" s="79">
        <f>IF('Material+Limits'!$P$3=TRUE,1,0)</f>
        <v>1</v>
      </c>
      <c r="D34" s="39">
        <f>IF(Daten!$O34+Daten!$P34+Daten!$R34=3,1,0)</f>
        <v>0</v>
      </c>
      <c r="E34" s="184">
        <f ca="1">IF(AND('Material+Limits'!$Q$21=TRUE,Daten!N34=1)=TRUE,1,0)</f>
        <v>0</v>
      </c>
      <c r="F34" s="185">
        <f>IF(AND('Material+Limits'!$Q$25=TRUE,Daten!M34=1)=TRUE,1,0)</f>
        <v>0</v>
      </c>
      <c r="G34" s="185">
        <f>IF(AND('Material+Limits'!$Q$24=TRUE,Daten!L34=1)=TRUE,1,0)</f>
        <v>0</v>
      </c>
      <c r="H34" s="185">
        <f>IF(AND('Material+Limits'!$Q$23=TRUE,Daten!K34=1)=TRUE,1,0)</f>
        <v>0</v>
      </c>
      <c r="I34" s="185">
        <f>IF(AND('Material+Limits'!$Q$22=TRUE,Daten!J34=1)=TRUE,1,0)</f>
        <v>0</v>
      </c>
      <c r="J34" s="158">
        <f>IF(Daten!$U34=13,1,0)</f>
        <v>1</v>
      </c>
      <c r="K34" s="159">
        <f>IF(Daten!$U34&lt;&gt;Daten!$V34,1,IF(Daten!$U34=14,1,0))</f>
        <v>1</v>
      </c>
      <c r="L34" s="159">
        <f>IF(Daten!$U34&lt;&gt;Daten!$V34,1,IF(Daten!$U34=16,1,0))</f>
        <v>1</v>
      </c>
      <c r="M34" s="159">
        <f>IF(Daten!$V34=17,1,0)</f>
        <v>1</v>
      </c>
      <c r="N34" s="160">
        <f ca="1">IF(Daten!$W34=Sprache!$A$60,1,0)</f>
        <v>0</v>
      </c>
      <c r="O34" s="171">
        <f>IF(AND(Daten!$AK34&lt;=KINVARO!$AW$3,Daten!$AL34&gt;=KINVARO!$AW$3)=TRUE,1,0)</f>
        <v>1</v>
      </c>
      <c r="P34" s="172">
        <f>IF(AND(Daten!$Z34&lt;=KINVARO!$AW$4,Daten!$AA34&gt;=KINVARO!$AW$4)=TRUE,1,0)</f>
        <v>0</v>
      </c>
      <c r="Q34" s="172"/>
      <c r="R34" s="172">
        <f>IF(AND(Daten!$AC34&lt;='Material+Limits'!$I$58,Daten!$AD34&gt;='Material+Limits'!$I$58)=TRUE,1,0)</f>
        <v>1</v>
      </c>
      <c r="S34" s="23">
        <f ca="1">IF(Daten!$X34=Sprache!$A$125,1,0)</f>
        <v>1</v>
      </c>
      <c r="T34" s="24" t="str">
        <f ca="1">Sprache!$A$51</f>
        <v xml:space="preserve">Podnośnik F-20 </v>
      </c>
      <c r="U34" s="27">
        <v>13</v>
      </c>
      <c r="V34" s="23">
        <v>17</v>
      </c>
      <c r="W34" s="25">
        <f ca="1">Sprache!$A$131</f>
        <v>0</v>
      </c>
      <c r="X34" s="25">
        <f ca="1">Sprache!$A$126</f>
        <v>0</v>
      </c>
      <c r="Y34" s="25">
        <f ca="1">Sprache!$A$96</f>
        <v>0</v>
      </c>
      <c r="Z34" s="25">
        <v>560</v>
      </c>
      <c r="AA34" s="24">
        <v>599</v>
      </c>
      <c r="AB34" s="25"/>
      <c r="AC34" s="26">
        <v>4.4000000000000004</v>
      </c>
      <c r="AD34" s="54">
        <v>12.6</v>
      </c>
      <c r="AE34" s="25" t="s">
        <v>780</v>
      </c>
      <c r="AF34" s="25" t="str">
        <f ca="1">Sprache!$A$101</f>
        <v>Zestaw (prawy+lewy)</v>
      </c>
      <c r="AG34" s="25" t="str">
        <f ca="1">Sprache!$A$105</f>
        <v>Ramię Typ 3</v>
      </c>
      <c r="AH34" s="25" t="str">
        <f ca="1">Sprache!$A$111</f>
        <v>Siłownik B</v>
      </c>
      <c r="AI34" s="25" t="str">
        <f ca="1">Sprache!$A$134</f>
        <v>Adapter do ram aluminiowych, do Kinvaro F-20 zest.</v>
      </c>
      <c r="AJ34" s="25" t="s">
        <v>820</v>
      </c>
      <c r="AK34" s="25">
        <v>400</v>
      </c>
      <c r="AL34" s="24">
        <v>1200</v>
      </c>
      <c r="AM34" s="30" t="str">
        <f ca="1">CONCATENATE("TIOMOS 110° ",Sprache!$A$201)</f>
        <v>TIOMOS 110° zawias do ramy aluminiowej</v>
      </c>
      <c r="AN34" s="30" t="str">
        <f ca="1">CONCATENATE("1D° ",Sprache!$A$200)</f>
        <v>1D° prowadnik</v>
      </c>
      <c r="AO34"/>
      <c r="AR34"/>
      <c r="AS34"/>
      <c r="AT34"/>
      <c r="AU34"/>
      <c r="AV34"/>
    </row>
    <row r="35" spans="1:48" s="5" customFormat="1" x14ac:dyDescent="0.25">
      <c r="A35" t="str">
        <f t="shared" ca="1" si="1"/>
        <v/>
      </c>
      <c r="B35" t="str">
        <f t="shared" ca="1" si="0"/>
        <v/>
      </c>
      <c r="C35" s="79">
        <f>IF('Material+Limits'!$P$3=TRUE,1,0)</f>
        <v>1</v>
      </c>
      <c r="D35" s="39">
        <f>IF(Daten!$O35+Daten!$P35+Daten!$R35=3,1,0)</f>
        <v>0</v>
      </c>
      <c r="E35" s="184">
        <f ca="1">IF(AND('Material+Limits'!$Q$21=TRUE,Daten!N35=1)=TRUE,1,0)</f>
        <v>0</v>
      </c>
      <c r="F35" s="185">
        <f>IF(AND('Material+Limits'!$Q$25=TRUE,Daten!M35=1)=TRUE,1,0)</f>
        <v>0</v>
      </c>
      <c r="G35" s="185">
        <f>IF(AND('Material+Limits'!$Q$24=TRUE,Daten!L35=1)=TRUE,1,0)</f>
        <v>0</v>
      </c>
      <c r="H35" s="185">
        <f>IF(AND('Material+Limits'!$Q$23=TRUE,Daten!K35=1)=TRUE,1,0)</f>
        <v>0</v>
      </c>
      <c r="I35" s="185">
        <f>IF(AND('Material+Limits'!$Q$22=TRUE,Daten!J35=1)=TRUE,1,0)</f>
        <v>0</v>
      </c>
      <c r="J35" s="155">
        <f>IF(Daten!$U35=13,1,0)</f>
        <v>1</v>
      </c>
      <c r="K35" s="156">
        <f>IF(Daten!$U35&lt;&gt;Daten!$V35,1,IF(Daten!$U35=14,1,0))</f>
        <v>1</v>
      </c>
      <c r="L35" s="156">
        <f>IF(Daten!$U35&lt;&gt;Daten!$V35,1,IF(Daten!$U35=16,1,0))</f>
        <v>1</v>
      </c>
      <c r="M35" s="156">
        <f>IF(Daten!$V35=17,1,0)</f>
        <v>1</v>
      </c>
      <c r="N35" s="157">
        <f ca="1">IF(Daten!$W35=Sprache!$A$60,1,0)</f>
        <v>0</v>
      </c>
      <c r="O35" s="169">
        <f>IF(AND(Daten!$AK35&lt;=KINVARO!$AW$3,Daten!$AL35&gt;=KINVARO!$AW$3)=TRUE,1,0)</f>
        <v>1</v>
      </c>
      <c r="P35" s="170">
        <f>IF(AND(Daten!$Z35&lt;=KINVARO!$AW$4,Daten!$AA35&gt;=KINVARO!$AW$4)=TRUE,1,0)</f>
        <v>0</v>
      </c>
      <c r="Q35" s="170"/>
      <c r="R35" s="170">
        <f>IF(AND(Daten!$AC35&lt;='Material+Limits'!$I$58,Daten!$AD35&gt;='Material+Limits'!$I$58)=TRUE,1,0)</f>
        <v>0</v>
      </c>
      <c r="S35" s="29">
        <f ca="1">IF(Daten!$X35=Sprache!$A$125,1,0)</f>
        <v>1</v>
      </c>
      <c r="T35" s="28" t="str">
        <f ca="1">Sprache!$A$51</f>
        <v xml:space="preserve">Podnośnik F-20 </v>
      </c>
      <c r="U35" s="32">
        <v>13</v>
      </c>
      <c r="V35" s="29">
        <v>17</v>
      </c>
      <c r="W35" s="30">
        <f ca="1">Sprache!$A$131</f>
        <v>0</v>
      </c>
      <c r="X35" s="30">
        <f ca="1">Sprache!$A$126</f>
        <v>0</v>
      </c>
      <c r="Y35" s="30">
        <f ca="1">Sprache!$A$96</f>
        <v>0</v>
      </c>
      <c r="Z35" s="30">
        <v>560</v>
      </c>
      <c r="AA35" s="28">
        <v>599</v>
      </c>
      <c r="AB35" s="30"/>
      <c r="AC35" s="31">
        <v>7</v>
      </c>
      <c r="AD35" s="53">
        <v>14.7</v>
      </c>
      <c r="AE35" s="30" t="s">
        <v>781</v>
      </c>
      <c r="AF35" s="30" t="str">
        <f ca="1">Sprache!$A$101</f>
        <v>Zestaw (prawy+lewy)</v>
      </c>
      <c r="AG35" s="30" t="str">
        <f ca="1">Sprache!$A$105</f>
        <v>Ramię Typ 3</v>
      </c>
      <c r="AH35" s="30" t="str">
        <f ca="1">Sprache!$A$112</f>
        <v>Siłownik C</v>
      </c>
      <c r="AI35" s="30" t="str">
        <f ca="1">Sprache!$A$134</f>
        <v>Adapter do ram aluminiowych, do Kinvaro F-20 zest.</v>
      </c>
      <c r="AJ35" s="30" t="s">
        <v>820</v>
      </c>
      <c r="AK35" s="30">
        <v>400</v>
      </c>
      <c r="AL35" s="28">
        <v>1200</v>
      </c>
      <c r="AM35" s="30" t="str">
        <f ca="1">CONCATENATE("TIOMOS 110° ",Sprache!$A$201)</f>
        <v>TIOMOS 110° zawias do ramy aluminiowej</v>
      </c>
      <c r="AN35" s="30" t="str">
        <f ca="1">CONCATENATE("1D° ",Sprache!$A$200)</f>
        <v>1D° prowadnik</v>
      </c>
    </row>
    <row r="36" spans="1:48" x14ac:dyDescent="0.25">
      <c r="A36" t="str">
        <f t="shared" ca="1" si="1"/>
        <v/>
      </c>
      <c r="B36" t="str">
        <f t="shared" ca="1" si="0"/>
        <v/>
      </c>
      <c r="C36" s="79">
        <f>IF('Material+Limits'!$P$3=TRUE,1,0)</f>
        <v>1</v>
      </c>
      <c r="D36" s="39">
        <f>IF(Daten!$O36+Daten!$P36+Daten!$R36=3,1,0)</f>
        <v>0</v>
      </c>
      <c r="E36" s="184">
        <f ca="1">IF(AND('Material+Limits'!$Q$21=TRUE,Daten!N36=1)=TRUE,1,0)</f>
        <v>1</v>
      </c>
      <c r="F36" s="185">
        <f ca="1">IF(AND('Material+Limits'!$Q$25=TRUE,Daten!M36=1)=TRUE,1,0)</f>
        <v>0</v>
      </c>
      <c r="G36" s="185">
        <f ca="1">IF(AND('Material+Limits'!$Q$24=TRUE,Daten!L36=1)=TRUE,1,0)</f>
        <v>0</v>
      </c>
      <c r="H36" s="185">
        <f ca="1">IF(AND('Material+Limits'!$Q$23=TRUE,Daten!K36=1)=TRUE,1,0)</f>
        <v>0</v>
      </c>
      <c r="I36" s="185">
        <f ca="1">IF(AND('Material+Limits'!$Q$22=TRUE,Daten!J36=1)=TRUE,1,0)</f>
        <v>0</v>
      </c>
      <c r="J36" s="158">
        <f ca="1">IF(Daten!$U36=13,1,0)</f>
        <v>0</v>
      </c>
      <c r="K36" s="159">
        <f ca="1">IF(Daten!$U36&lt;&gt;Daten!$V36,1,IF(Daten!$U36=14,1,0))</f>
        <v>0</v>
      </c>
      <c r="L36" s="159">
        <f ca="1">IF(Daten!$U36&lt;&gt;Daten!$V36,1,IF(Daten!$U36=16,1,0))</f>
        <v>0</v>
      </c>
      <c r="M36" s="159">
        <f ca="1">IF(Daten!$V36=17,1,0)</f>
        <v>0</v>
      </c>
      <c r="N36" s="160">
        <f ca="1">IF(Daten!$W36=Sprache!$A$60,1,0)</f>
        <v>1</v>
      </c>
      <c r="O36" s="173">
        <f>IF(AND(Daten!$AK36&lt;=KINVARO!$AW$3,Daten!$AL36&gt;=KINVARO!$AW$3)=TRUE,1,0)</f>
        <v>1</v>
      </c>
      <c r="P36" s="174">
        <f>IF(AND(Daten!$Z36&lt;=KINVARO!$AW$4,Daten!$AA36&gt;=KINVARO!$AW$4)=TRUE,1,0)</f>
        <v>0</v>
      </c>
      <c r="Q36" s="174"/>
      <c r="R36" s="174">
        <f>IF(AND(Daten!$AC36&lt;='Material+Limits'!$I$58,Daten!$AD36&gt;='Material+Limits'!$I$58)=TRUE,1,0)</f>
        <v>1</v>
      </c>
      <c r="S36" s="38">
        <f ca="1">IF(Daten!$X36=Sprache!$A$125,1,0)</f>
        <v>1</v>
      </c>
      <c r="T36" s="57" t="str">
        <f ca="1">Sprache!$A$51</f>
        <v xml:space="preserve">Podnośnik F-20 </v>
      </c>
      <c r="U36" s="55">
        <f ca="1">Sprache!$A$64</f>
        <v>0</v>
      </c>
      <c r="V36" s="38">
        <f ca="1">Sprache!$A$64</f>
        <v>0</v>
      </c>
      <c r="W36" s="56" t="str">
        <f ca="1">Sprache!$A$60</f>
        <v>Front lity (drewno/płyta)</v>
      </c>
      <c r="X36" s="25">
        <f ca="1">Sprache!$A$126</f>
        <v>0</v>
      </c>
      <c r="Y36" s="56">
        <f ca="1">Sprache!$A$96</f>
        <v>0</v>
      </c>
      <c r="Z36" s="56">
        <v>600</v>
      </c>
      <c r="AA36" s="57">
        <v>649</v>
      </c>
      <c r="AB36" s="56"/>
      <c r="AC36" s="58">
        <v>4.0999999999999996</v>
      </c>
      <c r="AD36" s="59">
        <v>12.1</v>
      </c>
      <c r="AE36" s="56" t="s">
        <v>782</v>
      </c>
      <c r="AF36" s="56" t="str">
        <f ca="1">Sprache!$A$101</f>
        <v>Zestaw (prawy+lewy)</v>
      </c>
      <c r="AG36" s="56" t="str">
        <f ca="1">Sprache!$A$106</f>
        <v>Ramię Typ 4</v>
      </c>
      <c r="AH36" s="56" t="str">
        <f ca="1">Sprache!$A$111</f>
        <v>Siłownik B</v>
      </c>
      <c r="AI36" s="56" t="s">
        <v>26</v>
      </c>
      <c r="AJ36" s="56" t="s">
        <v>26</v>
      </c>
      <c r="AK36" s="56">
        <v>400</v>
      </c>
      <c r="AL36" s="57">
        <v>1200</v>
      </c>
      <c r="AM36" s="30" t="str">
        <f ca="1">CONCATENATE("TIOMOS 120° ",Sprache!$A$88)</f>
        <v>TIOMOS 120° zawias</v>
      </c>
      <c r="AN36" s="30" t="str">
        <f ca="1">CONCATENATE("1D° ",Sprache!$A$200)</f>
        <v>1D° prowadnik</v>
      </c>
      <c r="AO36"/>
      <c r="AR36"/>
      <c r="AS36"/>
      <c r="AT36"/>
      <c r="AU36"/>
      <c r="AV36"/>
    </row>
    <row r="37" spans="1:48" x14ac:dyDescent="0.25">
      <c r="A37" t="str">
        <f t="shared" ca="1" si="1"/>
        <v/>
      </c>
      <c r="B37" t="str">
        <f t="shared" ca="1" si="0"/>
        <v/>
      </c>
      <c r="C37" s="79">
        <f>IF('Material+Limits'!$P$3=TRUE,1,0)</f>
        <v>1</v>
      </c>
      <c r="D37" s="39">
        <f>IF(Daten!$O37+Daten!$P37+Daten!$R37=3,1,0)</f>
        <v>0</v>
      </c>
      <c r="E37" s="184">
        <f ca="1">IF(AND('Material+Limits'!$Q$21=TRUE,Daten!N37=1)=TRUE,1,0)</f>
        <v>1</v>
      </c>
      <c r="F37" s="185">
        <f ca="1">IF(AND('Material+Limits'!$Q$25=TRUE,Daten!M37=1)=TRUE,1,0)</f>
        <v>0</v>
      </c>
      <c r="G37" s="185">
        <f ca="1">IF(AND('Material+Limits'!$Q$24=TRUE,Daten!L37=1)=TRUE,1,0)</f>
        <v>0</v>
      </c>
      <c r="H37" s="185">
        <f ca="1">IF(AND('Material+Limits'!$Q$23=TRUE,Daten!K37=1)=TRUE,1,0)</f>
        <v>0</v>
      </c>
      <c r="I37" s="185">
        <f ca="1">IF(AND('Material+Limits'!$Q$22=TRUE,Daten!J37=1)=TRUE,1,0)</f>
        <v>0</v>
      </c>
      <c r="J37" s="155">
        <f ca="1">IF(Daten!$U37=13,1,0)</f>
        <v>0</v>
      </c>
      <c r="K37" s="156">
        <f ca="1">IF(Daten!$U37&lt;&gt;Daten!$V37,1,IF(Daten!$U37=14,1,0))</f>
        <v>0</v>
      </c>
      <c r="L37" s="156">
        <f ca="1">IF(Daten!$U37&lt;&gt;Daten!$V37,1,IF(Daten!$U37=16,1,0))</f>
        <v>0</v>
      </c>
      <c r="M37" s="156">
        <f ca="1">IF(Daten!$V37=17,1,0)</f>
        <v>0</v>
      </c>
      <c r="N37" s="157">
        <f ca="1">IF(Daten!$W37=Sprache!$A$60,1,0)</f>
        <v>1</v>
      </c>
      <c r="O37" s="169">
        <f>IF(AND(Daten!$AK37&lt;=KINVARO!$AW$3,Daten!$AL37&gt;=KINVARO!$AW$3)=TRUE,1,0)</f>
        <v>1</v>
      </c>
      <c r="P37" s="170">
        <f>IF(AND(Daten!$Z37&lt;=KINVARO!$AW$4,Daten!$AA37&gt;=KINVARO!$AW$4)=TRUE,1,0)</f>
        <v>0</v>
      </c>
      <c r="R37" s="170">
        <f>IF(AND(Daten!$AC37&lt;='Material+Limits'!$I$58,Daten!$AD37&gt;='Material+Limits'!$I$58)=TRUE,1,0)</f>
        <v>0</v>
      </c>
      <c r="S37" s="29">
        <f ca="1">IF(Daten!$X37=Sprache!$A$125,1,0)</f>
        <v>1</v>
      </c>
      <c r="T37" s="28" t="str">
        <f ca="1">Sprache!$A$51</f>
        <v xml:space="preserve">Podnośnik F-20 </v>
      </c>
      <c r="U37" s="32">
        <f ca="1">Sprache!$A$64</f>
        <v>0</v>
      </c>
      <c r="V37" s="29">
        <f ca="1">Sprache!$A$64</f>
        <v>0</v>
      </c>
      <c r="W37" s="30" t="str">
        <f ca="1">Sprache!$A$60</f>
        <v>Front lity (drewno/płyta)</v>
      </c>
      <c r="X37" s="30">
        <f ca="1">Sprache!$A$126</f>
        <v>0</v>
      </c>
      <c r="Y37" s="30">
        <f ca="1">Sprache!$A$96</f>
        <v>0</v>
      </c>
      <c r="Z37" s="30">
        <v>600</v>
      </c>
      <c r="AA37" s="28">
        <v>649</v>
      </c>
      <c r="AB37" s="30"/>
      <c r="AC37" s="31">
        <v>6.8</v>
      </c>
      <c r="AD37" s="53">
        <v>15.8</v>
      </c>
      <c r="AE37" s="30" t="s">
        <v>783</v>
      </c>
      <c r="AF37" s="30" t="str">
        <f ca="1">Sprache!$A$101</f>
        <v>Zestaw (prawy+lewy)</v>
      </c>
      <c r="AG37" s="30" t="str">
        <f ca="1">Sprache!$A$106</f>
        <v>Ramię Typ 4</v>
      </c>
      <c r="AH37" s="30" t="str">
        <f ca="1">Sprache!$A$112</f>
        <v>Siłownik C</v>
      </c>
      <c r="AI37" s="30" t="s">
        <v>26</v>
      </c>
      <c r="AJ37" s="30" t="s">
        <v>26</v>
      </c>
      <c r="AK37" s="30">
        <v>400</v>
      </c>
      <c r="AL37" s="28">
        <v>1200</v>
      </c>
      <c r="AM37" s="30" t="str">
        <f ca="1">CONCATENATE("TIOMOS 120° ",Sprache!$A$88)</f>
        <v>TIOMOS 120° zawias</v>
      </c>
      <c r="AN37" s="30" t="str">
        <f ca="1">CONCATENATE("1D° ",Sprache!$A$200)</f>
        <v>1D° prowadnik</v>
      </c>
      <c r="AO37"/>
      <c r="AR37"/>
      <c r="AS37"/>
      <c r="AT37"/>
      <c r="AU37"/>
      <c r="AV37"/>
    </row>
    <row r="38" spans="1:48" x14ac:dyDescent="0.25">
      <c r="A38" t="str">
        <f t="shared" ca="1" si="1"/>
        <v/>
      </c>
      <c r="B38" t="str">
        <f t="shared" ca="1" si="0"/>
        <v/>
      </c>
      <c r="C38" s="79">
        <f>IF('Material+Limits'!$P$3=TRUE,1,0)</f>
        <v>1</v>
      </c>
      <c r="D38" s="39">
        <f>IF(Daten!$O38+Daten!$P38+Daten!$R38=3,1,0)</f>
        <v>0</v>
      </c>
      <c r="E38" s="184">
        <f ca="1">IF(AND('Material+Limits'!$Q$21=TRUE,Daten!N38=1)=TRUE,1,0)</f>
        <v>0</v>
      </c>
      <c r="F38" s="185">
        <f>IF(AND('Material+Limits'!$Q$25=TRUE,Daten!M38=1)=TRUE,1,0)</f>
        <v>0</v>
      </c>
      <c r="G38" s="185">
        <f>IF(AND('Material+Limits'!$Q$24=TRUE,Daten!L38=1)=TRUE,1,0)</f>
        <v>0</v>
      </c>
      <c r="H38" s="185">
        <f>IF(AND('Material+Limits'!$Q$23=TRUE,Daten!K38=1)=TRUE,1,0)</f>
        <v>0</v>
      </c>
      <c r="I38" s="185">
        <f>IF(AND('Material+Limits'!$Q$22=TRUE,Daten!J38=1)=TRUE,1,0)</f>
        <v>0</v>
      </c>
      <c r="J38" s="158">
        <f>IF(Daten!$U38=13,1,0)</f>
        <v>1</v>
      </c>
      <c r="K38" s="159">
        <f>IF(Daten!$U38&lt;&gt;Daten!$V38,1,IF(Daten!$U38=14,1,0))</f>
        <v>1</v>
      </c>
      <c r="L38" s="159">
        <f>IF(Daten!$U38&lt;&gt;Daten!$V38,1,IF(Daten!$U38=16,1,0))</f>
        <v>1</v>
      </c>
      <c r="M38" s="159">
        <f>IF(Daten!$V38=17,1,0)</f>
        <v>1</v>
      </c>
      <c r="N38" s="160">
        <f ca="1">IF(Daten!$W38=Sprache!$A$60,1,0)</f>
        <v>0</v>
      </c>
      <c r="O38" s="171">
        <f>IF(AND(Daten!$AK38&lt;=KINVARO!$AW$3,Daten!$AL38&gt;=KINVARO!$AW$3)=TRUE,1,0)</f>
        <v>1</v>
      </c>
      <c r="P38" s="172">
        <f>IF(AND(Daten!$Z38&lt;=KINVARO!$AW$4,Daten!$AA38&gt;=KINVARO!$AW$4)=TRUE,1,0)</f>
        <v>0</v>
      </c>
      <c r="Q38" s="172"/>
      <c r="R38" s="172">
        <f>IF(AND(Daten!$AC38&lt;='Material+Limits'!$I$58,Daten!$AD38&gt;='Material+Limits'!$I$58)=TRUE,1,0)</f>
        <v>1</v>
      </c>
      <c r="S38" s="23">
        <f ca="1">IF(Daten!$X38=Sprache!$A$125,1,0)</f>
        <v>1</v>
      </c>
      <c r="T38" s="24" t="str">
        <f ca="1">Sprache!$A$51</f>
        <v xml:space="preserve">Podnośnik F-20 </v>
      </c>
      <c r="U38" s="27">
        <v>13</v>
      </c>
      <c r="V38" s="23">
        <v>17</v>
      </c>
      <c r="W38" s="25">
        <f ca="1">Sprache!$A$131</f>
        <v>0</v>
      </c>
      <c r="X38" s="25">
        <f ca="1">Sprache!$A$126</f>
        <v>0</v>
      </c>
      <c r="Y38" s="25">
        <f ca="1">Sprache!$A$96</f>
        <v>0</v>
      </c>
      <c r="Z38" s="25">
        <v>600</v>
      </c>
      <c r="AA38" s="24">
        <v>649</v>
      </c>
      <c r="AB38" s="25"/>
      <c r="AC38" s="26">
        <v>4.0999999999999996</v>
      </c>
      <c r="AD38" s="54">
        <v>12.1</v>
      </c>
      <c r="AE38" s="25" t="s">
        <v>782</v>
      </c>
      <c r="AF38" s="25" t="str">
        <f ca="1">Sprache!$A$101</f>
        <v>Zestaw (prawy+lewy)</v>
      </c>
      <c r="AG38" s="25" t="str">
        <f ca="1">Sprache!$A$106</f>
        <v>Ramię Typ 4</v>
      </c>
      <c r="AH38" s="25" t="str">
        <f ca="1">Sprache!$A$111</f>
        <v>Siłownik B</v>
      </c>
      <c r="AI38" s="25" t="str">
        <f ca="1">Sprache!$A$134</f>
        <v>Adapter do ram aluminiowych, do Kinvaro F-20 zest.</v>
      </c>
      <c r="AJ38" s="25" t="s">
        <v>820</v>
      </c>
      <c r="AK38" s="25">
        <v>400</v>
      </c>
      <c r="AL38" s="24">
        <v>1200</v>
      </c>
      <c r="AM38" s="30" t="str">
        <f ca="1">CONCATENATE("TIOMOS 110° ",Sprache!$A$201)</f>
        <v>TIOMOS 110° zawias do ramy aluminiowej</v>
      </c>
      <c r="AN38" s="30" t="str">
        <f ca="1">CONCATENATE("1D° ",Sprache!$A$200)</f>
        <v>1D° prowadnik</v>
      </c>
      <c r="AO38"/>
      <c r="AR38"/>
      <c r="AS38"/>
      <c r="AT38"/>
      <c r="AU38"/>
      <c r="AV38"/>
    </row>
    <row r="39" spans="1:48" s="5" customFormat="1" x14ac:dyDescent="0.25">
      <c r="A39" t="str">
        <f t="shared" ca="1" si="1"/>
        <v/>
      </c>
      <c r="B39" t="str">
        <f t="shared" ca="1" si="0"/>
        <v/>
      </c>
      <c r="C39" s="79">
        <f>IF('Material+Limits'!$P$3=TRUE,1,0)</f>
        <v>1</v>
      </c>
      <c r="D39" s="39">
        <f>IF(Daten!$O39+Daten!$P39+Daten!$R39=3,1,0)</f>
        <v>0</v>
      </c>
      <c r="E39" s="184">
        <f ca="1">IF(AND('Material+Limits'!$Q$21=TRUE,Daten!N39=1)=TRUE,1,0)</f>
        <v>0</v>
      </c>
      <c r="F39" s="185">
        <f>IF(AND('Material+Limits'!$Q$25=TRUE,Daten!M39=1)=TRUE,1,0)</f>
        <v>0</v>
      </c>
      <c r="G39" s="185">
        <f>IF(AND('Material+Limits'!$Q$24=TRUE,Daten!L39=1)=TRUE,1,0)</f>
        <v>0</v>
      </c>
      <c r="H39" s="185">
        <f>IF(AND('Material+Limits'!$Q$23=TRUE,Daten!K39=1)=TRUE,1,0)</f>
        <v>0</v>
      </c>
      <c r="I39" s="185">
        <f>IF(AND('Material+Limits'!$Q$22=TRUE,Daten!J39=1)=TRUE,1,0)</f>
        <v>0</v>
      </c>
      <c r="J39" s="155">
        <f>IF(Daten!$U39=13,1,0)</f>
        <v>1</v>
      </c>
      <c r="K39" s="156">
        <f>IF(Daten!$U39&lt;&gt;Daten!$V39,1,IF(Daten!$U39=14,1,0))</f>
        <v>1</v>
      </c>
      <c r="L39" s="156">
        <f>IF(Daten!$U39&lt;&gt;Daten!$V39,1,IF(Daten!$U39=16,1,0))</f>
        <v>1</v>
      </c>
      <c r="M39" s="156">
        <f>IF(Daten!$V39=17,1,0)</f>
        <v>1</v>
      </c>
      <c r="N39" s="157">
        <f ca="1">IF(Daten!$W39=Sprache!$A$60,1,0)</f>
        <v>0</v>
      </c>
      <c r="O39" s="169">
        <f>IF(AND(Daten!$AK39&lt;=KINVARO!$AW$3,Daten!$AL39&gt;=KINVARO!$AW$3)=TRUE,1,0)</f>
        <v>1</v>
      </c>
      <c r="P39" s="170">
        <f>IF(AND(Daten!$Z39&lt;=KINVARO!$AW$4,Daten!$AA39&gt;=KINVARO!$AW$4)=TRUE,1,0)</f>
        <v>0</v>
      </c>
      <c r="Q39" s="170"/>
      <c r="R39" s="170">
        <f>IF(AND(Daten!$AC39&lt;='Material+Limits'!$I$58,Daten!$AD39&gt;='Material+Limits'!$I$58)=TRUE,1,0)</f>
        <v>0</v>
      </c>
      <c r="S39" s="29">
        <f ca="1">IF(Daten!$X39=Sprache!$A$125,1,0)</f>
        <v>1</v>
      </c>
      <c r="T39" s="28" t="str">
        <f ca="1">Sprache!$A$51</f>
        <v xml:space="preserve">Podnośnik F-20 </v>
      </c>
      <c r="U39" s="32">
        <v>13</v>
      </c>
      <c r="V39" s="29">
        <v>17</v>
      </c>
      <c r="W39" s="30">
        <f ca="1">Sprache!$A$131</f>
        <v>0</v>
      </c>
      <c r="X39" s="30">
        <f ca="1">Sprache!$A$126</f>
        <v>0</v>
      </c>
      <c r="Y39" s="30">
        <f ca="1">Sprache!$A$96</f>
        <v>0</v>
      </c>
      <c r="Z39" s="30">
        <v>600</v>
      </c>
      <c r="AA39" s="28">
        <v>649</v>
      </c>
      <c r="AB39" s="30"/>
      <c r="AC39" s="31">
        <v>6.8</v>
      </c>
      <c r="AD39" s="53">
        <v>15.8</v>
      </c>
      <c r="AE39" s="30" t="s">
        <v>783</v>
      </c>
      <c r="AF39" s="30" t="str">
        <f ca="1">Sprache!$A$101</f>
        <v>Zestaw (prawy+lewy)</v>
      </c>
      <c r="AG39" s="30" t="str">
        <f ca="1">Sprache!$A$106</f>
        <v>Ramię Typ 4</v>
      </c>
      <c r="AH39" s="30" t="str">
        <f ca="1">Sprache!$A$112</f>
        <v>Siłownik C</v>
      </c>
      <c r="AI39" s="30" t="str">
        <f ca="1">Sprache!$A$134</f>
        <v>Adapter do ram aluminiowych, do Kinvaro F-20 zest.</v>
      </c>
      <c r="AJ39" s="30" t="s">
        <v>820</v>
      </c>
      <c r="AK39" s="30">
        <v>400</v>
      </c>
      <c r="AL39" s="28">
        <v>1200</v>
      </c>
      <c r="AM39" s="30" t="str">
        <f ca="1">CONCATENATE("TIOMOS 110° ",Sprache!$A$201)</f>
        <v>TIOMOS 110° zawias do ramy aluminiowej</v>
      </c>
      <c r="AN39" s="30" t="str">
        <f ca="1">CONCATENATE("1D° ",Sprache!$A$200)</f>
        <v>1D° prowadnik</v>
      </c>
    </row>
    <row r="40" spans="1:48" x14ac:dyDescent="0.25">
      <c r="A40" t="str">
        <f t="shared" ca="1" si="1"/>
        <v/>
      </c>
      <c r="B40" t="str">
        <f t="shared" ca="1" si="0"/>
        <v/>
      </c>
      <c r="C40" s="79">
        <f>IF('Material+Limits'!$P$3=TRUE,1,0)</f>
        <v>1</v>
      </c>
      <c r="D40" s="39">
        <f>IF(Daten!$O40+Daten!$P40+Daten!$R40=3,1,0)</f>
        <v>0</v>
      </c>
      <c r="E40" s="184">
        <f ca="1">IF(AND('Material+Limits'!$Q$21=TRUE,Daten!N40=1)=TRUE,1,0)</f>
        <v>1</v>
      </c>
      <c r="F40" s="185">
        <f ca="1">IF(AND('Material+Limits'!$Q$25=TRUE,Daten!M40=1)=TRUE,1,0)</f>
        <v>0</v>
      </c>
      <c r="G40" s="185">
        <f ca="1">IF(AND('Material+Limits'!$Q$24=TRUE,Daten!L40=1)=TRUE,1,0)</f>
        <v>0</v>
      </c>
      <c r="H40" s="185">
        <f ca="1">IF(AND('Material+Limits'!$Q$23=TRUE,Daten!K40=1)=TRUE,1,0)</f>
        <v>0</v>
      </c>
      <c r="I40" s="185">
        <f ca="1">IF(AND('Material+Limits'!$Q$22=TRUE,Daten!J40=1)=TRUE,1,0)</f>
        <v>0</v>
      </c>
      <c r="J40" s="158">
        <f ca="1">IF(Daten!$U40=13,1,0)</f>
        <v>0</v>
      </c>
      <c r="K40" s="159">
        <f ca="1">IF(Daten!$U40&lt;&gt;Daten!$V40,1,IF(Daten!$U40=14,1,0))</f>
        <v>0</v>
      </c>
      <c r="L40" s="159">
        <f ca="1">IF(Daten!$U40&lt;&gt;Daten!$V40,1,IF(Daten!$U40=16,1,0))</f>
        <v>0</v>
      </c>
      <c r="M40" s="159">
        <f ca="1">IF(Daten!$V40=17,1,0)</f>
        <v>0</v>
      </c>
      <c r="N40" s="160">
        <f ca="1">IF(Daten!$W40=Sprache!$A$60,1,0)</f>
        <v>1</v>
      </c>
      <c r="O40" s="173">
        <f>IF(AND(Daten!$AK40&lt;=KINVARO!$AW$3,Daten!$AL40&gt;=KINVARO!$AW$3)=TRUE,1,0)</f>
        <v>1</v>
      </c>
      <c r="P40" s="174">
        <f>IF(AND(Daten!$Z40&lt;=KINVARO!$AW$4,Daten!$AA40&gt;=KINVARO!$AW$4)=TRUE,1,0)</f>
        <v>0</v>
      </c>
      <c r="Q40" s="174"/>
      <c r="R40" s="174">
        <f>IF(AND(Daten!$AC40&lt;='Material+Limits'!$I$58,Daten!$AD40&gt;='Material+Limits'!$I$58)=TRUE,1,0)</f>
        <v>1</v>
      </c>
      <c r="S40" s="38">
        <f ca="1">IF(Daten!$X40=Sprache!$A$125,1,0)</f>
        <v>1</v>
      </c>
      <c r="T40" s="57" t="str">
        <f ca="1">Sprache!$A$51</f>
        <v xml:space="preserve">Podnośnik F-20 </v>
      </c>
      <c r="U40" s="55">
        <f ca="1">Sprache!$A$64</f>
        <v>0</v>
      </c>
      <c r="V40" s="38">
        <f ca="1">Sprache!$A$64</f>
        <v>0</v>
      </c>
      <c r="W40" s="56" t="str">
        <f ca="1">Sprache!$A$60</f>
        <v>Front lity (drewno/płyta)</v>
      </c>
      <c r="X40" s="25">
        <f ca="1">Sprache!$A$126</f>
        <v>0</v>
      </c>
      <c r="Y40" s="56">
        <f ca="1">Sprache!$A$96</f>
        <v>0</v>
      </c>
      <c r="Z40" s="56">
        <v>650</v>
      </c>
      <c r="AA40" s="57">
        <v>699</v>
      </c>
      <c r="AB40" s="56"/>
      <c r="AC40" s="58">
        <v>3.8</v>
      </c>
      <c r="AD40" s="59">
        <v>11.4</v>
      </c>
      <c r="AE40" s="56" t="s">
        <v>784</v>
      </c>
      <c r="AF40" s="56" t="str">
        <f ca="1">Sprache!$A$101</f>
        <v>Zestaw (prawy+lewy)</v>
      </c>
      <c r="AG40" s="56" t="str">
        <f ca="1">Sprache!$A$107</f>
        <v>Ramię Typ 5</v>
      </c>
      <c r="AH40" s="56" t="str">
        <f ca="1">Sprache!$A$111</f>
        <v>Siłownik B</v>
      </c>
      <c r="AI40" s="56" t="s">
        <v>26</v>
      </c>
      <c r="AJ40" s="56" t="s">
        <v>26</v>
      </c>
      <c r="AK40" s="56">
        <v>400</v>
      </c>
      <c r="AL40" s="57">
        <v>1200</v>
      </c>
      <c r="AM40" s="30" t="str">
        <f ca="1">CONCATENATE("TIOMOS 120° ",Sprache!$A$88)</f>
        <v>TIOMOS 120° zawias</v>
      </c>
      <c r="AN40" s="30" t="str">
        <f ca="1">CONCATENATE("1D° ",Sprache!$A$200)</f>
        <v>1D° prowadnik</v>
      </c>
      <c r="AO40"/>
      <c r="AR40"/>
      <c r="AS40"/>
      <c r="AT40"/>
      <c r="AU40"/>
      <c r="AV40"/>
    </row>
    <row r="41" spans="1:48" x14ac:dyDescent="0.25">
      <c r="A41" t="str">
        <f t="shared" ca="1" si="1"/>
        <v/>
      </c>
      <c r="B41" t="str">
        <f t="shared" ca="1" si="0"/>
        <v/>
      </c>
      <c r="C41" s="79">
        <f>IF('Material+Limits'!$P$3=TRUE,1,0)</f>
        <v>1</v>
      </c>
      <c r="D41" s="39">
        <f>IF(Daten!$O41+Daten!$P41+Daten!$R41=3,1,0)</f>
        <v>0</v>
      </c>
      <c r="E41" s="184">
        <f ca="1">IF(AND('Material+Limits'!$Q$21=TRUE,Daten!N41=1)=TRUE,1,0)</f>
        <v>1</v>
      </c>
      <c r="F41" s="185">
        <f ca="1">IF(AND('Material+Limits'!$Q$25=TRUE,Daten!M41=1)=TRUE,1,0)</f>
        <v>0</v>
      </c>
      <c r="G41" s="185">
        <f ca="1">IF(AND('Material+Limits'!$Q$24=TRUE,Daten!L41=1)=TRUE,1,0)</f>
        <v>0</v>
      </c>
      <c r="H41" s="185">
        <f ca="1">IF(AND('Material+Limits'!$Q$23=TRUE,Daten!K41=1)=TRUE,1,0)</f>
        <v>0</v>
      </c>
      <c r="I41" s="185">
        <f ca="1">IF(AND('Material+Limits'!$Q$22=TRUE,Daten!J41=1)=TRUE,1,0)</f>
        <v>0</v>
      </c>
      <c r="J41" s="155">
        <f ca="1">IF(Daten!$U41=13,1,0)</f>
        <v>0</v>
      </c>
      <c r="K41" s="156">
        <f ca="1">IF(Daten!$U41&lt;&gt;Daten!$V41,1,IF(Daten!$U41=14,1,0))</f>
        <v>0</v>
      </c>
      <c r="L41" s="156">
        <f ca="1">IF(Daten!$U41&lt;&gt;Daten!$V41,1,IF(Daten!$U41=16,1,0))</f>
        <v>0</v>
      </c>
      <c r="M41" s="156">
        <f ca="1">IF(Daten!$V41=17,1,0)</f>
        <v>0</v>
      </c>
      <c r="N41" s="157">
        <f ca="1">IF(Daten!$W41=Sprache!$A$60,1,0)</f>
        <v>1</v>
      </c>
      <c r="O41" s="169">
        <f>IF(AND(Daten!$AK41&lt;=KINVARO!$AW$3,Daten!$AL41&gt;=KINVARO!$AW$3)=TRUE,1,0)</f>
        <v>1</v>
      </c>
      <c r="P41" s="170">
        <f>IF(AND(Daten!$Z41&lt;=KINVARO!$AW$4,Daten!$AA41&gt;=KINVARO!$AW$4)=TRUE,1,0)</f>
        <v>0</v>
      </c>
      <c r="R41" s="170">
        <f>IF(AND(Daten!$AC41&lt;='Material+Limits'!$I$58,Daten!$AD41&gt;='Material+Limits'!$I$58)=TRUE,1,0)</f>
        <v>0</v>
      </c>
      <c r="S41" s="29">
        <f ca="1">IF(Daten!$X41=Sprache!$A$125,1,0)</f>
        <v>1</v>
      </c>
      <c r="T41" s="28" t="str">
        <f ca="1">Sprache!$A$51</f>
        <v xml:space="preserve">Podnośnik F-20 </v>
      </c>
      <c r="U41" s="32">
        <f ca="1">Sprache!$A$64</f>
        <v>0</v>
      </c>
      <c r="V41" s="29">
        <f ca="1">Sprache!$A$64</f>
        <v>0</v>
      </c>
      <c r="W41" s="30" t="str">
        <f ca="1">Sprache!$A$60</f>
        <v>Front lity (drewno/płyta)</v>
      </c>
      <c r="X41" s="30">
        <f ca="1">Sprache!$A$126</f>
        <v>0</v>
      </c>
      <c r="Y41" s="30">
        <f ca="1">Sprache!$A$96</f>
        <v>0</v>
      </c>
      <c r="Z41" s="30">
        <v>650</v>
      </c>
      <c r="AA41" s="28">
        <v>699</v>
      </c>
      <c r="AB41" s="30"/>
      <c r="AC41" s="31">
        <v>6.7</v>
      </c>
      <c r="AD41" s="53">
        <v>16.899999999999999</v>
      </c>
      <c r="AE41" s="30" t="s">
        <v>785</v>
      </c>
      <c r="AF41" s="30" t="str">
        <f ca="1">Sprache!$A$101</f>
        <v>Zestaw (prawy+lewy)</v>
      </c>
      <c r="AG41" s="30" t="str">
        <f ca="1">Sprache!$A$107</f>
        <v>Ramię Typ 5</v>
      </c>
      <c r="AH41" s="30" t="str">
        <f ca="1">Sprache!$A$112</f>
        <v>Siłownik C</v>
      </c>
      <c r="AI41" s="30" t="s">
        <v>26</v>
      </c>
      <c r="AJ41" s="30" t="s">
        <v>26</v>
      </c>
      <c r="AK41" s="30">
        <v>400</v>
      </c>
      <c r="AL41" s="28">
        <v>1200</v>
      </c>
      <c r="AM41" s="30" t="str">
        <f ca="1">CONCATENATE("TIOMOS 120° ",Sprache!$A$88)</f>
        <v>TIOMOS 120° zawias</v>
      </c>
      <c r="AN41" s="30" t="str">
        <f ca="1">CONCATENATE("1D° ",Sprache!$A$200)</f>
        <v>1D° prowadnik</v>
      </c>
      <c r="AO41"/>
      <c r="AR41"/>
      <c r="AS41"/>
      <c r="AT41"/>
      <c r="AU41"/>
      <c r="AV41"/>
    </row>
    <row r="42" spans="1:48" x14ac:dyDescent="0.25">
      <c r="A42" t="str">
        <f t="shared" ca="1" si="1"/>
        <v/>
      </c>
      <c r="B42" t="str">
        <f t="shared" ca="1" si="0"/>
        <v/>
      </c>
      <c r="C42" s="79">
        <f>IF('Material+Limits'!$P$3=TRUE,1,0)</f>
        <v>1</v>
      </c>
      <c r="D42" s="39">
        <f>IF(Daten!$O42+Daten!$P42+Daten!$R42=3,1,0)</f>
        <v>0</v>
      </c>
      <c r="E42" s="184">
        <f ca="1">IF(AND('Material+Limits'!$Q$21=TRUE,Daten!N42=1)=TRUE,1,0)</f>
        <v>0</v>
      </c>
      <c r="F42" s="185">
        <f>IF(AND('Material+Limits'!$Q$25=TRUE,Daten!M42=1)=TRUE,1,0)</f>
        <v>0</v>
      </c>
      <c r="G42" s="185">
        <f>IF(AND('Material+Limits'!$Q$24=TRUE,Daten!L42=1)=TRUE,1,0)</f>
        <v>0</v>
      </c>
      <c r="H42" s="185">
        <f>IF(AND('Material+Limits'!$Q$23=TRUE,Daten!K42=1)=TRUE,1,0)</f>
        <v>0</v>
      </c>
      <c r="I42" s="185">
        <f>IF(AND('Material+Limits'!$Q$22=TRUE,Daten!J42=1)=TRUE,1,0)</f>
        <v>0</v>
      </c>
      <c r="J42" s="158">
        <f>IF(Daten!$U42=13,1,0)</f>
        <v>1</v>
      </c>
      <c r="K42" s="159">
        <f>IF(Daten!$U42&lt;&gt;Daten!$V42,1,IF(Daten!$U42=14,1,0))</f>
        <v>1</v>
      </c>
      <c r="L42" s="159">
        <f>IF(Daten!$U42&lt;&gt;Daten!$V42,1,IF(Daten!$U42=16,1,0))</f>
        <v>1</v>
      </c>
      <c r="M42" s="159">
        <f>IF(Daten!$V42=17,1,0)</f>
        <v>1</v>
      </c>
      <c r="N42" s="160">
        <f ca="1">IF(Daten!$W42=Sprache!$A$60,1,0)</f>
        <v>0</v>
      </c>
      <c r="O42" s="171">
        <f>IF(AND(Daten!$AK42&lt;=KINVARO!$AW$3,Daten!$AL42&gt;=KINVARO!$AW$3)=TRUE,1,0)</f>
        <v>1</v>
      </c>
      <c r="P42" s="172">
        <f>IF(AND(Daten!$Z42&lt;=KINVARO!$AW$4,Daten!$AA42&gt;=KINVARO!$AW$4)=TRUE,1,0)</f>
        <v>0</v>
      </c>
      <c r="Q42" s="172"/>
      <c r="R42" s="172">
        <f>IF(AND(Daten!$AC42&lt;='Material+Limits'!$I$58,Daten!$AD42&gt;='Material+Limits'!$I$58)=TRUE,1,0)</f>
        <v>1</v>
      </c>
      <c r="S42" s="23">
        <f ca="1">IF(Daten!$X42=Sprache!$A$125,1,0)</f>
        <v>1</v>
      </c>
      <c r="T42" s="24" t="str">
        <f ca="1">Sprache!$A$51</f>
        <v xml:space="preserve">Podnośnik F-20 </v>
      </c>
      <c r="U42" s="27">
        <v>13</v>
      </c>
      <c r="V42" s="23">
        <v>17</v>
      </c>
      <c r="W42" s="25">
        <f ca="1">Sprache!$A$131</f>
        <v>0</v>
      </c>
      <c r="X42" s="25">
        <f ca="1">Sprache!$A$126</f>
        <v>0</v>
      </c>
      <c r="Y42" s="25">
        <f ca="1">Sprache!$A$96</f>
        <v>0</v>
      </c>
      <c r="Z42" s="25">
        <v>650</v>
      </c>
      <c r="AA42" s="24">
        <v>699</v>
      </c>
      <c r="AB42" s="25"/>
      <c r="AC42" s="26">
        <v>3.8</v>
      </c>
      <c r="AD42" s="54">
        <v>11.4</v>
      </c>
      <c r="AE42" s="25" t="s">
        <v>784</v>
      </c>
      <c r="AF42" s="25" t="str">
        <f ca="1">Sprache!$A$101</f>
        <v>Zestaw (prawy+lewy)</v>
      </c>
      <c r="AG42" s="25" t="str">
        <f ca="1">Sprache!$A$107</f>
        <v>Ramię Typ 5</v>
      </c>
      <c r="AH42" s="25" t="str">
        <f ca="1">Sprache!$A$111</f>
        <v>Siłownik B</v>
      </c>
      <c r="AI42" s="25" t="str">
        <f ca="1">Sprache!$A$134</f>
        <v>Adapter do ram aluminiowych, do Kinvaro F-20 zest.</v>
      </c>
      <c r="AJ42" s="25" t="s">
        <v>820</v>
      </c>
      <c r="AK42" s="25">
        <v>400</v>
      </c>
      <c r="AL42" s="24">
        <v>1200</v>
      </c>
      <c r="AM42" s="30" t="str">
        <f ca="1">CONCATENATE("TIOMOS 110° ",Sprache!$A$201)</f>
        <v>TIOMOS 110° zawias do ramy aluminiowej</v>
      </c>
      <c r="AN42" s="30" t="str">
        <f ca="1">CONCATENATE("1D° ",Sprache!$A$200)</f>
        <v>1D° prowadnik</v>
      </c>
      <c r="AO42"/>
      <c r="AR42"/>
      <c r="AS42"/>
      <c r="AT42"/>
      <c r="AU42"/>
      <c r="AV42"/>
    </row>
    <row r="43" spans="1:48" s="5" customFormat="1" x14ac:dyDescent="0.25">
      <c r="A43" t="str">
        <f t="shared" ca="1" si="1"/>
        <v/>
      </c>
      <c r="B43" t="str">
        <f t="shared" ca="1" si="0"/>
        <v/>
      </c>
      <c r="C43" s="79">
        <f>IF('Material+Limits'!$P$3=TRUE,1,0)</f>
        <v>1</v>
      </c>
      <c r="D43" s="39">
        <f>IF(Daten!$O43+Daten!$P43+Daten!$R43=3,1,0)</f>
        <v>0</v>
      </c>
      <c r="E43" s="184">
        <f ca="1">IF(AND('Material+Limits'!$Q$21=TRUE,Daten!N43=1)=TRUE,1,0)</f>
        <v>0</v>
      </c>
      <c r="F43" s="185">
        <f>IF(AND('Material+Limits'!$Q$25=TRUE,Daten!M43=1)=TRUE,1,0)</f>
        <v>0</v>
      </c>
      <c r="G43" s="185">
        <f>IF(AND('Material+Limits'!$Q$24=TRUE,Daten!L43=1)=TRUE,1,0)</f>
        <v>0</v>
      </c>
      <c r="H43" s="185">
        <f>IF(AND('Material+Limits'!$Q$23=TRUE,Daten!K43=1)=TRUE,1,0)</f>
        <v>0</v>
      </c>
      <c r="I43" s="185">
        <f>IF(AND('Material+Limits'!$Q$22=TRUE,Daten!J43=1)=TRUE,1,0)</f>
        <v>0</v>
      </c>
      <c r="J43" s="155">
        <f>IF(Daten!$U43=13,1,0)</f>
        <v>1</v>
      </c>
      <c r="K43" s="156">
        <f>IF(Daten!$U43&lt;&gt;Daten!$V43,1,IF(Daten!$U43=14,1,0))</f>
        <v>1</v>
      </c>
      <c r="L43" s="156">
        <f>IF(Daten!$U43&lt;&gt;Daten!$V43,1,IF(Daten!$U43=16,1,0))</f>
        <v>1</v>
      </c>
      <c r="M43" s="156">
        <f>IF(Daten!$V43=17,1,0)</f>
        <v>1</v>
      </c>
      <c r="N43" s="157">
        <f ca="1">IF(Daten!$W43=Sprache!$A$60,1,0)</f>
        <v>0</v>
      </c>
      <c r="O43" s="169">
        <f>IF(AND(Daten!$AK43&lt;=KINVARO!$AW$3,Daten!$AL43&gt;=KINVARO!$AW$3)=TRUE,1,0)</f>
        <v>1</v>
      </c>
      <c r="P43" s="170">
        <f>IF(AND(Daten!$Z43&lt;=KINVARO!$AW$4,Daten!$AA43&gt;=KINVARO!$AW$4)=TRUE,1,0)</f>
        <v>0</v>
      </c>
      <c r="Q43" s="170"/>
      <c r="R43" s="170">
        <f>IF(AND(Daten!$AC43&lt;='Material+Limits'!$I$58,Daten!$AD43&gt;='Material+Limits'!$I$58)=TRUE,1,0)</f>
        <v>0</v>
      </c>
      <c r="S43" s="29">
        <f ca="1">IF(Daten!$X43=Sprache!$A$125,1,0)</f>
        <v>1</v>
      </c>
      <c r="T43" s="28" t="str">
        <f ca="1">Sprache!$A$51</f>
        <v xml:space="preserve">Podnośnik F-20 </v>
      </c>
      <c r="U43" s="32">
        <v>13</v>
      </c>
      <c r="V43" s="29">
        <v>17</v>
      </c>
      <c r="W43" s="30">
        <f ca="1">Sprache!$A$131</f>
        <v>0</v>
      </c>
      <c r="X43" s="30">
        <f ca="1">Sprache!$A$126</f>
        <v>0</v>
      </c>
      <c r="Y43" s="30">
        <f ca="1">Sprache!$A$96</f>
        <v>0</v>
      </c>
      <c r="Z43" s="30">
        <v>650</v>
      </c>
      <c r="AA43" s="28">
        <v>699</v>
      </c>
      <c r="AB43" s="30"/>
      <c r="AC43" s="31">
        <v>6.7</v>
      </c>
      <c r="AD43" s="53">
        <v>16.899999999999999</v>
      </c>
      <c r="AE43" s="30" t="s">
        <v>785</v>
      </c>
      <c r="AF43" s="30" t="str">
        <f ca="1">Sprache!$A$101</f>
        <v>Zestaw (prawy+lewy)</v>
      </c>
      <c r="AG43" s="30" t="str">
        <f ca="1">Sprache!$A$107</f>
        <v>Ramię Typ 5</v>
      </c>
      <c r="AH43" s="30" t="str">
        <f ca="1">Sprache!$A$112</f>
        <v>Siłownik C</v>
      </c>
      <c r="AI43" s="30" t="str">
        <f ca="1">Sprache!$A$134</f>
        <v>Adapter do ram aluminiowych, do Kinvaro F-20 zest.</v>
      </c>
      <c r="AJ43" s="30" t="s">
        <v>820</v>
      </c>
      <c r="AK43" s="30">
        <v>400</v>
      </c>
      <c r="AL43" s="28">
        <v>1200</v>
      </c>
      <c r="AM43" s="30" t="str">
        <f ca="1">CONCATENATE("TIOMOS 110° ",Sprache!$A$201)</f>
        <v>TIOMOS 110° zawias do ramy aluminiowej</v>
      </c>
      <c r="AN43" s="30" t="str">
        <f ca="1">CONCATENATE("1D° ",Sprache!$A$200)</f>
        <v>1D° prowadnik</v>
      </c>
    </row>
    <row r="44" spans="1:48" x14ac:dyDescent="0.25">
      <c r="A44" t="str">
        <f t="shared" ca="1" si="1"/>
        <v/>
      </c>
      <c r="B44" t="str">
        <f t="shared" ca="1" si="0"/>
        <v/>
      </c>
      <c r="C44" s="79">
        <f>IF('Material+Limits'!$P$3=TRUE,1,0)</f>
        <v>1</v>
      </c>
      <c r="D44" s="39">
        <f>IF(Daten!$O44+Daten!$P44+Daten!$R44=3,1,0)</f>
        <v>0</v>
      </c>
      <c r="E44" s="184">
        <f ca="1">IF(AND('Material+Limits'!$Q$21=TRUE,Daten!N44=1)=TRUE,1,0)</f>
        <v>1</v>
      </c>
      <c r="F44" s="185">
        <f ca="1">IF(AND('Material+Limits'!$Q$25=TRUE,Daten!M44=1)=TRUE,1,0)</f>
        <v>0</v>
      </c>
      <c r="G44" s="185">
        <f ca="1">IF(AND('Material+Limits'!$Q$24=TRUE,Daten!L44=1)=TRUE,1,0)</f>
        <v>0</v>
      </c>
      <c r="H44" s="185">
        <f ca="1">IF(AND('Material+Limits'!$Q$23=TRUE,Daten!K44=1)=TRUE,1,0)</f>
        <v>0</v>
      </c>
      <c r="I44" s="185">
        <f ca="1">IF(AND('Material+Limits'!$Q$22=TRUE,Daten!J44=1)=TRUE,1,0)</f>
        <v>0</v>
      </c>
      <c r="J44" s="158">
        <f ca="1">IF(Daten!$U44=13,1,0)</f>
        <v>0</v>
      </c>
      <c r="K44" s="159">
        <f ca="1">IF(Daten!$U44&lt;&gt;Daten!$V44,1,IF(Daten!$U44=14,1,0))</f>
        <v>0</v>
      </c>
      <c r="L44" s="159">
        <f ca="1">IF(Daten!$U44&lt;&gt;Daten!$V44,1,IF(Daten!$U44=16,1,0))</f>
        <v>0</v>
      </c>
      <c r="M44" s="159">
        <f ca="1">IF(Daten!$V44=17,1,0)</f>
        <v>0</v>
      </c>
      <c r="N44" s="160">
        <f ca="1">IF(Daten!$W44=Sprache!$A$60,1,0)</f>
        <v>1</v>
      </c>
      <c r="O44" s="173">
        <f>IF(AND(Daten!$AK44&lt;=KINVARO!$AW$3,Daten!$AL44&gt;=KINVARO!$AW$3)=TRUE,1,0)</f>
        <v>1</v>
      </c>
      <c r="P44" s="174">
        <f>IF(AND(Daten!$Z44&lt;=KINVARO!$AW$4,Daten!$AA44&gt;=KINVARO!$AW$4)=TRUE,1,0)</f>
        <v>0</v>
      </c>
      <c r="Q44" s="174"/>
      <c r="R44" s="174">
        <f>IF(AND(Daten!$AC44&lt;='Material+Limits'!$I$58,Daten!$AD44&gt;='Material+Limits'!$I$58)=TRUE,1,0)</f>
        <v>0</v>
      </c>
      <c r="S44" s="38">
        <f ca="1">IF(Daten!$X44=Sprache!$A$125,1,0)</f>
        <v>1</v>
      </c>
      <c r="T44" s="57" t="str">
        <f ca="1">Sprache!$A$51</f>
        <v xml:space="preserve">Podnośnik F-20 </v>
      </c>
      <c r="U44" s="55">
        <f ca="1">Sprache!$A$64</f>
        <v>0</v>
      </c>
      <c r="V44" s="38">
        <f ca="1">Sprache!$A$64</f>
        <v>0</v>
      </c>
      <c r="W44" s="56" t="str">
        <f ca="1">Sprache!$A$60</f>
        <v>Front lity (drewno/płyta)</v>
      </c>
      <c r="X44" s="25">
        <f ca="1">Sprache!$A$126</f>
        <v>0</v>
      </c>
      <c r="Y44" s="56">
        <f ca="1">Sprache!$A$96</f>
        <v>0</v>
      </c>
      <c r="Z44" s="56">
        <v>700</v>
      </c>
      <c r="AA44" s="57">
        <v>749</v>
      </c>
      <c r="AB44" s="56"/>
      <c r="AC44" s="58">
        <v>6.5</v>
      </c>
      <c r="AD44" s="59">
        <v>16.399999999999999</v>
      </c>
      <c r="AE44" s="56" t="s">
        <v>786</v>
      </c>
      <c r="AF44" s="56" t="str">
        <f ca="1">Sprache!$A$101</f>
        <v>Zestaw (prawy+lewy)</v>
      </c>
      <c r="AG44" s="56" t="str">
        <f ca="1">Sprache!$A$108</f>
        <v>Ramię Typ 6</v>
      </c>
      <c r="AH44" s="56" t="str">
        <f ca="1">Sprache!$A$112</f>
        <v>Siłownik C</v>
      </c>
      <c r="AI44" s="56" t="s">
        <v>26</v>
      </c>
      <c r="AJ44" s="56" t="s">
        <v>26</v>
      </c>
      <c r="AK44" s="56">
        <v>400</v>
      </c>
      <c r="AL44" s="57">
        <v>1200</v>
      </c>
      <c r="AM44" s="30" t="str">
        <f ca="1">CONCATENATE("TIOMOS 120° ",Sprache!$A$88)</f>
        <v>TIOMOS 120° zawias</v>
      </c>
      <c r="AN44" s="30" t="str">
        <f ca="1">CONCATENATE("1D° ",Sprache!$A$200)</f>
        <v>1D° prowadnik</v>
      </c>
      <c r="AO44"/>
      <c r="AR44"/>
      <c r="AS44"/>
      <c r="AT44"/>
      <c r="AU44"/>
      <c r="AV44"/>
    </row>
    <row r="45" spans="1:48" x14ac:dyDescent="0.25">
      <c r="A45" t="str">
        <f t="shared" ca="1" si="1"/>
        <v/>
      </c>
      <c r="B45" t="str">
        <f t="shared" ca="1" si="0"/>
        <v/>
      </c>
      <c r="C45" s="79">
        <f>IF('Material+Limits'!$P$3=TRUE,1,0)</f>
        <v>1</v>
      </c>
      <c r="D45" s="39">
        <f>IF(Daten!$O45+Daten!$P45+Daten!$R45=3,1,0)</f>
        <v>0</v>
      </c>
      <c r="E45" s="184">
        <f ca="1">IF(AND('Material+Limits'!$Q$21=TRUE,Daten!N45=1)=TRUE,1,0)</f>
        <v>1</v>
      </c>
      <c r="F45" s="185">
        <f ca="1">IF(AND('Material+Limits'!$Q$25=TRUE,Daten!M45=1)=TRUE,1,0)</f>
        <v>0</v>
      </c>
      <c r="G45" s="185">
        <f ca="1">IF(AND('Material+Limits'!$Q$24=TRUE,Daten!L45=1)=TRUE,1,0)</f>
        <v>0</v>
      </c>
      <c r="H45" s="185">
        <f ca="1">IF(AND('Material+Limits'!$Q$23=TRUE,Daten!K45=1)=TRUE,1,0)</f>
        <v>0</v>
      </c>
      <c r="I45" s="185">
        <f ca="1">IF(AND('Material+Limits'!$Q$22=TRUE,Daten!J45=1)=TRUE,1,0)</f>
        <v>0</v>
      </c>
      <c r="J45" s="155">
        <f ca="1">IF(Daten!$U45=13,1,0)</f>
        <v>0</v>
      </c>
      <c r="K45" s="156">
        <f ca="1">IF(Daten!$U45&lt;&gt;Daten!$V45,1,IF(Daten!$U45=14,1,0))</f>
        <v>0</v>
      </c>
      <c r="L45" s="156">
        <f ca="1">IF(Daten!$U45&lt;&gt;Daten!$V45,1,IF(Daten!$U45=16,1,0))</f>
        <v>0</v>
      </c>
      <c r="M45" s="156">
        <f ca="1">IF(Daten!$V45=17,1,0)</f>
        <v>0</v>
      </c>
      <c r="N45" s="157">
        <f ca="1">IF(Daten!$W45=Sprache!$A$60,1,0)</f>
        <v>1</v>
      </c>
      <c r="O45" s="169">
        <f>IF(AND(Daten!$AK45&lt;=KINVARO!$AW$3,Daten!$AL45&gt;=KINVARO!$AW$3)=TRUE,1,0)</f>
        <v>1</v>
      </c>
      <c r="P45" s="170">
        <f>IF(AND(Daten!$Z45&lt;=KINVARO!$AW$4,Daten!$AA45&gt;=KINVARO!$AW$4)=TRUE,1,0)</f>
        <v>0</v>
      </c>
      <c r="R45" s="170">
        <f>IF(AND(Daten!$AC45&lt;='Material+Limits'!$I$58,Daten!$AD45&gt;='Material+Limits'!$I$58)=TRUE,1,0)</f>
        <v>0</v>
      </c>
      <c r="S45" s="29">
        <f ca="1">IF(Daten!$X45=Sprache!$A$125,1,0)</f>
        <v>1</v>
      </c>
      <c r="T45" s="28" t="str">
        <f ca="1">Sprache!$A$51</f>
        <v xml:space="preserve">Podnośnik F-20 </v>
      </c>
      <c r="U45" s="32">
        <f ca="1">Sprache!$A$64</f>
        <v>0</v>
      </c>
      <c r="V45" s="29">
        <f ca="1">Sprache!$A$64</f>
        <v>0</v>
      </c>
      <c r="W45" s="30" t="str">
        <f ca="1">Sprache!$A$60</f>
        <v>Front lity (drewno/płyta)</v>
      </c>
      <c r="X45" s="30">
        <f ca="1">Sprache!$A$126</f>
        <v>0</v>
      </c>
      <c r="Y45" s="30">
        <f ca="1">Sprache!$A$96</f>
        <v>0</v>
      </c>
      <c r="Z45" s="30">
        <v>700</v>
      </c>
      <c r="AA45" s="28">
        <v>749</v>
      </c>
      <c r="AB45" s="30"/>
      <c r="AC45" s="31">
        <v>10</v>
      </c>
      <c r="AD45" s="53">
        <v>18</v>
      </c>
      <c r="AE45" s="30" t="s">
        <v>787</v>
      </c>
      <c r="AF45" s="30" t="str">
        <f ca="1">Sprache!$A$101</f>
        <v>Zestaw (prawy+lewy)</v>
      </c>
      <c r="AG45" s="30" t="str">
        <f ca="1">Sprache!$A$108</f>
        <v>Ramię Typ 6</v>
      </c>
      <c r="AH45" s="30" t="str">
        <f ca="1">Sprache!$A$113</f>
        <v>Siłownik D</v>
      </c>
      <c r="AI45" s="30" t="s">
        <v>26</v>
      </c>
      <c r="AJ45" s="30" t="s">
        <v>26</v>
      </c>
      <c r="AK45" s="30">
        <v>400</v>
      </c>
      <c r="AL45" s="28">
        <v>1200</v>
      </c>
      <c r="AM45" s="30" t="str">
        <f ca="1">CONCATENATE("TIOMOS 120° ",Sprache!$A$88)</f>
        <v>TIOMOS 120° zawias</v>
      </c>
      <c r="AN45" s="30" t="str">
        <f ca="1">CONCATENATE("1D° ",Sprache!$A$200)</f>
        <v>1D° prowadnik</v>
      </c>
      <c r="AO45"/>
      <c r="AR45"/>
      <c r="AS45"/>
      <c r="AT45"/>
      <c r="AU45"/>
      <c r="AV45"/>
    </row>
    <row r="46" spans="1:48" x14ac:dyDescent="0.25">
      <c r="A46" t="str">
        <f t="shared" ca="1" si="1"/>
        <v/>
      </c>
      <c r="B46" t="str">
        <f t="shared" ca="1" si="0"/>
        <v/>
      </c>
      <c r="C46" s="79">
        <f>IF('Material+Limits'!$P$3=TRUE,1,0)</f>
        <v>1</v>
      </c>
      <c r="D46" s="39">
        <f>IF(Daten!$O46+Daten!$P46+Daten!$R46=3,1,0)</f>
        <v>0</v>
      </c>
      <c r="E46" s="184">
        <f ca="1">IF(AND('Material+Limits'!$Q$21=TRUE,Daten!N46=1)=TRUE,1,0)</f>
        <v>0</v>
      </c>
      <c r="F46" s="185">
        <f>IF(AND('Material+Limits'!$Q$25=TRUE,Daten!M46=1)=TRUE,1,0)</f>
        <v>0</v>
      </c>
      <c r="G46" s="185">
        <f>IF(AND('Material+Limits'!$Q$24=TRUE,Daten!L46=1)=TRUE,1,0)</f>
        <v>0</v>
      </c>
      <c r="H46" s="185">
        <f>IF(AND('Material+Limits'!$Q$23=TRUE,Daten!K46=1)=TRUE,1,0)</f>
        <v>0</v>
      </c>
      <c r="I46" s="185">
        <f>IF(AND('Material+Limits'!$Q$22=TRUE,Daten!J46=1)=TRUE,1,0)</f>
        <v>0</v>
      </c>
      <c r="J46" s="158">
        <f>IF(Daten!$U46=13,1,0)</f>
        <v>1</v>
      </c>
      <c r="K46" s="159">
        <f>IF(Daten!$U46&lt;&gt;Daten!$V46,1,IF(Daten!$U46=14,1,0))</f>
        <v>1</v>
      </c>
      <c r="L46" s="159">
        <f>IF(Daten!$U46&lt;&gt;Daten!$V46,1,IF(Daten!$U46=16,1,0))</f>
        <v>1</v>
      </c>
      <c r="M46" s="159">
        <f>IF(Daten!$V46=17,1,0)</f>
        <v>1</v>
      </c>
      <c r="N46" s="160">
        <f ca="1">IF(Daten!$W46=Sprache!$A$60,1,0)</f>
        <v>0</v>
      </c>
      <c r="O46" s="171">
        <f>IF(AND(Daten!$AK46&lt;=KINVARO!$AW$3,Daten!$AL46&gt;=KINVARO!$AW$3)=TRUE,1,0)</f>
        <v>1</v>
      </c>
      <c r="P46" s="172">
        <f>IF(AND(Daten!$Z46&lt;=KINVARO!$AW$4,Daten!$AA46&gt;=KINVARO!$AW$4)=TRUE,1,0)</f>
        <v>0</v>
      </c>
      <c r="Q46" s="172"/>
      <c r="R46" s="172">
        <f>IF(AND(Daten!$AC46&lt;='Material+Limits'!$I$58,Daten!$AD46&gt;='Material+Limits'!$I$58)=TRUE,1,0)</f>
        <v>0</v>
      </c>
      <c r="S46" s="23">
        <f ca="1">IF(Daten!$X46=Sprache!$A$125,1,0)</f>
        <v>1</v>
      </c>
      <c r="T46" s="24" t="str">
        <f ca="1">Sprache!$A$51</f>
        <v xml:space="preserve">Podnośnik F-20 </v>
      </c>
      <c r="U46" s="27">
        <v>13</v>
      </c>
      <c r="V46" s="23">
        <v>17</v>
      </c>
      <c r="W46" s="25">
        <f ca="1">Sprache!$A$131</f>
        <v>0</v>
      </c>
      <c r="X46" s="25">
        <f ca="1">Sprache!$A$126</f>
        <v>0</v>
      </c>
      <c r="Y46" s="25">
        <f ca="1">Sprache!$A$96</f>
        <v>0</v>
      </c>
      <c r="Z46" s="25">
        <v>700</v>
      </c>
      <c r="AA46" s="24">
        <v>749</v>
      </c>
      <c r="AB46" s="25"/>
      <c r="AC46" s="26">
        <v>6.5</v>
      </c>
      <c r="AD46" s="54">
        <v>16.399999999999999</v>
      </c>
      <c r="AE46" s="25" t="s">
        <v>786</v>
      </c>
      <c r="AF46" s="25" t="str">
        <f ca="1">Sprache!$A$101</f>
        <v>Zestaw (prawy+lewy)</v>
      </c>
      <c r="AG46" s="25" t="str">
        <f ca="1">Sprache!$A$108</f>
        <v>Ramię Typ 6</v>
      </c>
      <c r="AH46" s="25" t="str">
        <f ca="1">Sprache!$A$112</f>
        <v>Siłownik C</v>
      </c>
      <c r="AI46" s="25" t="str">
        <f ca="1">Sprache!$A$134</f>
        <v>Adapter do ram aluminiowych, do Kinvaro F-20 zest.</v>
      </c>
      <c r="AJ46" s="25" t="s">
        <v>820</v>
      </c>
      <c r="AK46" s="25">
        <v>400</v>
      </c>
      <c r="AL46" s="24">
        <v>1200</v>
      </c>
      <c r="AM46" s="30" t="str">
        <f ca="1">CONCATENATE("TIOMOS 110° ",Sprache!$A$201)</f>
        <v>TIOMOS 110° zawias do ramy aluminiowej</v>
      </c>
      <c r="AN46" s="30" t="str">
        <f ca="1">CONCATENATE("1D° ",Sprache!$A$200)</f>
        <v>1D° prowadnik</v>
      </c>
      <c r="AO46"/>
      <c r="AR46"/>
      <c r="AS46"/>
      <c r="AT46"/>
      <c r="AU46"/>
      <c r="AV46"/>
    </row>
    <row r="47" spans="1:48" s="5" customFormat="1" x14ac:dyDescent="0.25">
      <c r="A47" t="str">
        <f t="shared" ca="1" si="1"/>
        <v/>
      </c>
      <c r="B47" t="str">
        <f t="shared" ca="1" si="0"/>
        <v/>
      </c>
      <c r="C47" s="79">
        <f>IF('Material+Limits'!$P$3=TRUE,1,0)</f>
        <v>1</v>
      </c>
      <c r="D47" s="39">
        <f>IF(Daten!$O47+Daten!$P47+Daten!$R47=3,1,0)</f>
        <v>0</v>
      </c>
      <c r="E47" s="184">
        <f ca="1">IF(AND('Material+Limits'!$Q$21=TRUE,Daten!N47=1)=TRUE,1,0)</f>
        <v>0</v>
      </c>
      <c r="F47" s="185">
        <f>IF(AND('Material+Limits'!$Q$25=TRUE,Daten!M47=1)=TRUE,1,0)</f>
        <v>0</v>
      </c>
      <c r="G47" s="185">
        <f>IF(AND('Material+Limits'!$Q$24=TRUE,Daten!L47=1)=TRUE,1,0)</f>
        <v>0</v>
      </c>
      <c r="H47" s="185">
        <f>IF(AND('Material+Limits'!$Q$23=TRUE,Daten!K47=1)=TRUE,1,0)</f>
        <v>0</v>
      </c>
      <c r="I47" s="185">
        <f>IF(AND('Material+Limits'!$Q$22=TRUE,Daten!J47=1)=TRUE,1,0)</f>
        <v>0</v>
      </c>
      <c r="J47" s="155">
        <f>IF(Daten!$U47=13,1,0)</f>
        <v>1</v>
      </c>
      <c r="K47" s="156">
        <f>IF(Daten!$U47&lt;&gt;Daten!$V47,1,IF(Daten!$U47=14,1,0))</f>
        <v>1</v>
      </c>
      <c r="L47" s="156">
        <f>IF(Daten!$U47&lt;&gt;Daten!$V47,1,IF(Daten!$U47=16,1,0))</f>
        <v>1</v>
      </c>
      <c r="M47" s="156">
        <f>IF(Daten!$V47=17,1,0)</f>
        <v>1</v>
      </c>
      <c r="N47" s="157">
        <f ca="1">IF(Daten!$W47=Sprache!$A$60,1,0)</f>
        <v>0</v>
      </c>
      <c r="O47" s="169">
        <f>IF(AND(Daten!$AK47&lt;=KINVARO!$AW$3,Daten!$AL47&gt;=KINVARO!$AW$3)=TRUE,1,0)</f>
        <v>1</v>
      </c>
      <c r="P47" s="170">
        <f>IF(AND(Daten!$Z47&lt;=KINVARO!$AW$4,Daten!$AA47&gt;=KINVARO!$AW$4)=TRUE,1,0)</f>
        <v>0</v>
      </c>
      <c r="Q47" s="170"/>
      <c r="R47" s="170">
        <f>IF(AND(Daten!$AC47&lt;='Material+Limits'!$I$58,Daten!$AD47&gt;='Material+Limits'!$I$58)=TRUE,1,0)</f>
        <v>0</v>
      </c>
      <c r="S47" s="29">
        <f ca="1">IF(Daten!$X47=Sprache!$A$125,1,0)</f>
        <v>1</v>
      </c>
      <c r="T47" s="28" t="str">
        <f ca="1">Sprache!$A$51</f>
        <v xml:space="preserve">Podnośnik F-20 </v>
      </c>
      <c r="U47" s="32">
        <v>13</v>
      </c>
      <c r="V47" s="29">
        <v>17</v>
      </c>
      <c r="W47" s="30">
        <f ca="1">Sprache!$A$131</f>
        <v>0</v>
      </c>
      <c r="X47" s="30">
        <f ca="1">Sprache!$A$126</f>
        <v>0</v>
      </c>
      <c r="Y47" s="30">
        <f ca="1">Sprache!$A$96</f>
        <v>0</v>
      </c>
      <c r="Z47" s="30">
        <v>700</v>
      </c>
      <c r="AA47" s="28">
        <v>749</v>
      </c>
      <c r="AB47" s="30"/>
      <c r="AC47" s="31">
        <v>10</v>
      </c>
      <c r="AD47" s="53">
        <v>18</v>
      </c>
      <c r="AE47" s="30" t="s">
        <v>787</v>
      </c>
      <c r="AF47" s="30" t="str">
        <f ca="1">Sprache!$A$101</f>
        <v>Zestaw (prawy+lewy)</v>
      </c>
      <c r="AG47" s="30" t="str">
        <f ca="1">Sprache!$A$108</f>
        <v>Ramię Typ 6</v>
      </c>
      <c r="AH47" s="30" t="str">
        <f ca="1">Sprache!$A$113</f>
        <v>Siłownik D</v>
      </c>
      <c r="AI47" s="30" t="str">
        <f ca="1">Sprache!$A$134</f>
        <v>Adapter do ram aluminiowych, do Kinvaro F-20 zest.</v>
      </c>
      <c r="AJ47" s="30" t="s">
        <v>820</v>
      </c>
      <c r="AK47" s="30">
        <v>400</v>
      </c>
      <c r="AL47" s="28">
        <v>1200</v>
      </c>
      <c r="AM47" s="30" t="str">
        <f ca="1">CONCATENATE("TIOMOS 110° ",Sprache!$A$201)</f>
        <v>TIOMOS 110° zawias do ramy aluminiowej</v>
      </c>
      <c r="AN47" s="30" t="str">
        <f ca="1">CONCATENATE("1D° ",Sprache!$A$200)</f>
        <v>1D° prowadnik</v>
      </c>
    </row>
    <row r="48" spans="1:48" x14ac:dyDescent="0.25">
      <c r="A48" t="str">
        <f t="shared" ca="1" si="1"/>
        <v/>
      </c>
      <c r="B48" t="str">
        <f t="shared" ca="1" si="0"/>
        <v/>
      </c>
      <c r="C48" s="79">
        <f>IF('Material+Limits'!$P$3=TRUE,1,0)</f>
        <v>1</v>
      </c>
      <c r="D48" s="39">
        <f>IF(Daten!$O48+Daten!$P48+Daten!$R48=3,1,0)</f>
        <v>0</v>
      </c>
      <c r="E48" s="184">
        <f ca="1">IF(AND('Material+Limits'!$Q$21=TRUE,Daten!N48=1)=TRUE,1,0)</f>
        <v>1</v>
      </c>
      <c r="F48" s="185">
        <f ca="1">IF(AND('Material+Limits'!$Q$25=TRUE,Daten!M48=1)=TRUE,1,0)</f>
        <v>0</v>
      </c>
      <c r="G48" s="185">
        <f ca="1">IF(AND('Material+Limits'!$Q$24=TRUE,Daten!L48=1)=TRUE,1,0)</f>
        <v>0</v>
      </c>
      <c r="H48" s="185">
        <f ca="1">IF(AND('Material+Limits'!$Q$23=TRUE,Daten!K48=1)=TRUE,1,0)</f>
        <v>0</v>
      </c>
      <c r="I48" s="185">
        <f ca="1">IF(AND('Material+Limits'!$Q$22=TRUE,Daten!J48=1)=TRUE,1,0)</f>
        <v>0</v>
      </c>
      <c r="J48" s="158">
        <f ca="1">IF(Daten!$U48=13,1,0)</f>
        <v>0</v>
      </c>
      <c r="K48" s="159">
        <f ca="1">IF(Daten!$U48&lt;&gt;Daten!$V48,1,IF(Daten!$U48=14,1,0))</f>
        <v>0</v>
      </c>
      <c r="L48" s="159">
        <f ca="1">IF(Daten!$U48&lt;&gt;Daten!$V48,1,IF(Daten!$U48=16,1,0))</f>
        <v>0</v>
      </c>
      <c r="M48" s="159">
        <f ca="1">IF(Daten!$V48=17,1,0)</f>
        <v>0</v>
      </c>
      <c r="N48" s="160">
        <f ca="1">IF(Daten!$W48=Sprache!$A$60,1,0)</f>
        <v>1</v>
      </c>
      <c r="O48" s="173">
        <f>IF(AND(Daten!$AK48&lt;=KINVARO!$AW$3,Daten!$AL48&gt;=KINVARO!$AW$3)=TRUE,1,0)</f>
        <v>1</v>
      </c>
      <c r="P48" s="174">
        <f>IF(AND(Daten!$Z48&lt;=KINVARO!$AW$4,Daten!$AA48&gt;=KINVARO!$AW$4)=TRUE,1,0)</f>
        <v>0</v>
      </c>
      <c r="Q48" s="174"/>
      <c r="R48" s="174">
        <f>IF(AND(Daten!$AC48&lt;='Material+Limits'!$I$58,Daten!$AD48&gt;='Material+Limits'!$I$58)=TRUE,1,0)</f>
        <v>1</v>
      </c>
      <c r="S48" s="38">
        <f ca="1">IF(Daten!$X48=Sprache!$A$125,1,0)</f>
        <v>1</v>
      </c>
      <c r="T48" s="57" t="str">
        <f ca="1">Sprache!$A$51</f>
        <v xml:space="preserve">Podnośnik F-20 </v>
      </c>
      <c r="U48" s="55">
        <f ca="1">Sprache!$A$64</f>
        <v>0</v>
      </c>
      <c r="V48" s="38">
        <f ca="1">Sprache!$A$64</f>
        <v>0</v>
      </c>
      <c r="W48" s="56" t="str">
        <f ca="1">Sprache!$A$60</f>
        <v>Front lity (drewno/płyta)</v>
      </c>
      <c r="X48" s="25">
        <f ca="1">Sprache!$A$126</f>
        <v>0</v>
      </c>
      <c r="Y48" s="56">
        <f ca="1">Sprache!$A$96</f>
        <v>0</v>
      </c>
      <c r="Z48" s="56">
        <v>750</v>
      </c>
      <c r="AA48" s="57">
        <v>800</v>
      </c>
      <c r="AB48" s="56"/>
      <c r="AC48" s="58">
        <v>6</v>
      </c>
      <c r="AD48" s="59">
        <v>15.6</v>
      </c>
      <c r="AE48" s="56" t="s">
        <v>788</v>
      </c>
      <c r="AF48" s="56" t="str">
        <f ca="1">Sprache!$A$101</f>
        <v>Zestaw (prawy+lewy)</v>
      </c>
      <c r="AG48" s="56" t="str">
        <f ca="1">Sprache!$A$109</f>
        <v>Ramię Typ 7</v>
      </c>
      <c r="AH48" s="56" t="str">
        <f ca="1">Sprache!$A$112</f>
        <v>Siłownik C</v>
      </c>
      <c r="AI48" s="56" t="s">
        <v>26</v>
      </c>
      <c r="AJ48" s="56" t="s">
        <v>26</v>
      </c>
      <c r="AK48" s="56">
        <v>400</v>
      </c>
      <c r="AL48" s="57">
        <v>1200</v>
      </c>
      <c r="AM48" s="30" t="str">
        <f ca="1">CONCATENATE("TIOMOS 120° ",Sprache!$A$88)</f>
        <v>TIOMOS 120° zawias</v>
      </c>
      <c r="AN48" s="30" t="str">
        <f ca="1">CONCATENATE("1D° ",Sprache!$A$200)</f>
        <v>1D° prowadnik</v>
      </c>
      <c r="AO48"/>
      <c r="AR48"/>
      <c r="AS48"/>
      <c r="AT48"/>
      <c r="AU48"/>
      <c r="AV48"/>
    </row>
    <row r="49" spans="1:48" x14ac:dyDescent="0.25">
      <c r="A49" t="str">
        <f t="shared" ca="1" si="1"/>
        <v/>
      </c>
      <c r="B49" t="str">
        <f t="shared" ca="1" si="0"/>
        <v/>
      </c>
      <c r="C49" s="79">
        <f>IF('Material+Limits'!$P$3=TRUE,1,0)</f>
        <v>1</v>
      </c>
      <c r="D49" s="39">
        <f>IF(Daten!$O49+Daten!$P49+Daten!$R49=3,1,0)</f>
        <v>0</v>
      </c>
      <c r="E49" s="184">
        <f ca="1">IF(AND('Material+Limits'!$Q$21=TRUE,Daten!N49=1)=TRUE,1,0)</f>
        <v>1</v>
      </c>
      <c r="F49" s="185">
        <f ca="1">IF(AND('Material+Limits'!$Q$25=TRUE,Daten!M49=1)=TRUE,1,0)</f>
        <v>0</v>
      </c>
      <c r="G49" s="185">
        <f ca="1">IF(AND('Material+Limits'!$Q$24=TRUE,Daten!L49=1)=TRUE,1,0)</f>
        <v>0</v>
      </c>
      <c r="H49" s="185">
        <f ca="1">IF(AND('Material+Limits'!$Q$23=TRUE,Daten!K49=1)=TRUE,1,0)</f>
        <v>0</v>
      </c>
      <c r="I49" s="185">
        <f ca="1">IF(AND('Material+Limits'!$Q$22=TRUE,Daten!J49=1)=TRUE,1,0)</f>
        <v>0</v>
      </c>
      <c r="J49" s="155">
        <f ca="1">IF(Daten!$U49=13,1,0)</f>
        <v>0</v>
      </c>
      <c r="K49" s="156">
        <f ca="1">IF(Daten!$U49&lt;&gt;Daten!$V49,1,IF(Daten!$U49=14,1,0))</f>
        <v>0</v>
      </c>
      <c r="L49" s="156">
        <f ca="1">IF(Daten!$U49&lt;&gt;Daten!$V49,1,IF(Daten!$U49=16,1,0))</f>
        <v>0</v>
      </c>
      <c r="M49" s="156">
        <f ca="1">IF(Daten!$V49=17,1,0)</f>
        <v>0</v>
      </c>
      <c r="N49" s="157">
        <f ca="1">IF(Daten!$W49=Sprache!$A$60,1,0)</f>
        <v>1</v>
      </c>
      <c r="O49" s="169">
        <f>IF(AND(Daten!$AK49&lt;=KINVARO!$AW$3,Daten!$AL49&gt;=KINVARO!$AW$3)=TRUE,1,0)</f>
        <v>1</v>
      </c>
      <c r="P49" s="170">
        <f>IF(AND(Daten!$Z49&lt;=KINVARO!$AW$4,Daten!$AA49&gt;=KINVARO!$AW$4)=TRUE,1,0)</f>
        <v>0</v>
      </c>
      <c r="R49" s="170">
        <f>IF(AND(Daten!$AC49&lt;='Material+Limits'!$I$58,Daten!$AD49&gt;='Material+Limits'!$I$58)=TRUE,1,0)</f>
        <v>0</v>
      </c>
      <c r="S49" s="29">
        <f ca="1">IF(Daten!$X49=Sprache!$A$125,1,0)</f>
        <v>1</v>
      </c>
      <c r="T49" s="30" t="str">
        <f ca="1">Sprache!$A$51</f>
        <v xml:space="preserve">Podnośnik F-20 </v>
      </c>
      <c r="U49" s="32">
        <f ca="1">Sprache!$A$64</f>
        <v>0</v>
      </c>
      <c r="V49" s="29">
        <f ca="1">Sprache!$A$64</f>
        <v>0</v>
      </c>
      <c r="W49" s="30" t="str">
        <f ca="1">Sprache!$A$60</f>
        <v>Front lity (drewno/płyta)</v>
      </c>
      <c r="X49" s="30">
        <f ca="1">Sprache!$A$126</f>
        <v>0</v>
      </c>
      <c r="Y49" s="30">
        <f ca="1">Sprache!$A$96</f>
        <v>0</v>
      </c>
      <c r="Z49" s="30">
        <v>750</v>
      </c>
      <c r="AA49" s="28">
        <v>800</v>
      </c>
      <c r="AB49" s="30"/>
      <c r="AC49" s="31">
        <v>8.6</v>
      </c>
      <c r="AD49" s="53">
        <v>19.2</v>
      </c>
      <c r="AE49" s="30" t="s">
        <v>789</v>
      </c>
      <c r="AF49" s="30" t="str">
        <f ca="1">Sprache!$A$101</f>
        <v>Zestaw (prawy+lewy)</v>
      </c>
      <c r="AG49" s="30" t="str">
        <f ca="1">Sprache!$A$109</f>
        <v>Ramię Typ 7</v>
      </c>
      <c r="AH49" s="30" t="str">
        <f ca="1">Sprache!$A$113</f>
        <v>Siłownik D</v>
      </c>
      <c r="AI49" s="30" t="s">
        <v>26</v>
      </c>
      <c r="AJ49" s="30" t="s">
        <v>26</v>
      </c>
      <c r="AK49" s="30">
        <v>400</v>
      </c>
      <c r="AL49" s="28">
        <v>1200</v>
      </c>
      <c r="AM49" s="30" t="str">
        <f ca="1">CONCATENATE("TIOMOS 120° ",Sprache!$A$88)</f>
        <v>TIOMOS 120° zawias</v>
      </c>
      <c r="AN49" s="30" t="str">
        <f ca="1">CONCATENATE("1D° ",Sprache!$A$200)</f>
        <v>1D° prowadnik</v>
      </c>
      <c r="AO49"/>
      <c r="AR49"/>
      <c r="AS49"/>
      <c r="AT49"/>
      <c r="AU49"/>
      <c r="AV49"/>
    </row>
    <row r="50" spans="1:48" x14ac:dyDescent="0.25">
      <c r="A50" t="str">
        <f t="shared" ca="1" si="1"/>
        <v/>
      </c>
      <c r="B50" t="str">
        <f t="shared" ca="1" si="0"/>
        <v/>
      </c>
      <c r="C50" s="79">
        <f>IF('Material+Limits'!$P$3=TRUE,1,0)</f>
        <v>1</v>
      </c>
      <c r="D50" s="39">
        <f>IF(Daten!$O50+Daten!$P50+Daten!$R50=3,1,0)</f>
        <v>0</v>
      </c>
      <c r="E50" s="184">
        <f ca="1">IF(AND('Material+Limits'!$Q$21=TRUE,Daten!N50=1)=TRUE,1,0)</f>
        <v>0</v>
      </c>
      <c r="F50" s="185">
        <f>IF(AND('Material+Limits'!$Q$25=TRUE,Daten!M50=1)=TRUE,1,0)</f>
        <v>0</v>
      </c>
      <c r="G50" s="185">
        <f>IF(AND('Material+Limits'!$Q$24=TRUE,Daten!L50=1)=TRUE,1,0)</f>
        <v>0</v>
      </c>
      <c r="H50" s="185">
        <f>IF(AND('Material+Limits'!$Q$23=TRUE,Daten!K50=1)=TRUE,1,0)</f>
        <v>0</v>
      </c>
      <c r="I50" s="185">
        <f>IF(AND('Material+Limits'!$Q$22=TRUE,Daten!J50=1)=TRUE,1,0)</f>
        <v>0</v>
      </c>
      <c r="J50" s="158">
        <f>IF(Daten!$U50=13,1,0)</f>
        <v>1</v>
      </c>
      <c r="K50" s="159">
        <f>IF(Daten!$U50&lt;&gt;Daten!$V50,1,IF(Daten!$U50=14,1,0))</f>
        <v>1</v>
      </c>
      <c r="L50" s="159">
        <f>IF(Daten!$U50&lt;&gt;Daten!$V50,1,IF(Daten!$U50=16,1,0))</f>
        <v>1</v>
      </c>
      <c r="M50" s="159">
        <f>IF(Daten!$V50=17,1,0)</f>
        <v>1</v>
      </c>
      <c r="N50" s="160">
        <f ca="1">IF(Daten!$W50=Sprache!$A$60,1,0)</f>
        <v>0</v>
      </c>
      <c r="O50" s="171">
        <f>IF(AND(Daten!$AK50&lt;=KINVARO!$AW$3,Daten!$AL50&gt;=KINVARO!$AW$3)=TRUE,1,0)</f>
        <v>1</v>
      </c>
      <c r="P50" s="172">
        <f>IF(AND(Daten!$Z50&lt;=KINVARO!$AW$4,Daten!$AA50&gt;=KINVARO!$AW$4)=TRUE,1,0)</f>
        <v>0</v>
      </c>
      <c r="Q50" s="172"/>
      <c r="R50" s="172">
        <f>IF(AND(Daten!$AC50&lt;='Material+Limits'!$I$58,Daten!$AD50&gt;='Material+Limits'!$I$58)=TRUE,1,0)</f>
        <v>1</v>
      </c>
      <c r="S50" s="23">
        <f ca="1">IF(Daten!$X50=Sprache!$A$125,1,0)</f>
        <v>1</v>
      </c>
      <c r="T50" s="24" t="str">
        <f ca="1">Sprache!$A$51</f>
        <v xml:space="preserve">Podnośnik F-20 </v>
      </c>
      <c r="U50" s="27">
        <v>13</v>
      </c>
      <c r="V50" s="23">
        <v>17</v>
      </c>
      <c r="W50" s="25">
        <f ca="1">Sprache!$A$131</f>
        <v>0</v>
      </c>
      <c r="X50" s="25">
        <f ca="1">Sprache!$A$126</f>
        <v>0</v>
      </c>
      <c r="Y50" s="25">
        <f ca="1">Sprache!$A$96</f>
        <v>0</v>
      </c>
      <c r="Z50" s="25">
        <v>750</v>
      </c>
      <c r="AA50" s="24">
        <v>800</v>
      </c>
      <c r="AB50" s="25"/>
      <c r="AC50" s="26">
        <v>6</v>
      </c>
      <c r="AD50" s="54">
        <v>15.6</v>
      </c>
      <c r="AE50" s="25" t="s">
        <v>788</v>
      </c>
      <c r="AF50" s="25" t="str">
        <f ca="1">Sprache!$A$101</f>
        <v>Zestaw (prawy+lewy)</v>
      </c>
      <c r="AG50" s="25" t="str">
        <f ca="1">Sprache!$A$109</f>
        <v>Ramię Typ 7</v>
      </c>
      <c r="AH50" s="25" t="str">
        <f ca="1">Sprache!$A$112</f>
        <v>Siłownik C</v>
      </c>
      <c r="AI50" s="25" t="str">
        <f ca="1">Sprache!$A$134</f>
        <v>Adapter do ram aluminiowych, do Kinvaro F-20 zest.</v>
      </c>
      <c r="AJ50" s="25" t="s">
        <v>820</v>
      </c>
      <c r="AK50" s="25">
        <v>400</v>
      </c>
      <c r="AL50" s="24">
        <v>1200</v>
      </c>
      <c r="AM50" s="30" t="str">
        <f ca="1">CONCATENATE("TIOMOS 110° ",Sprache!$A$201)</f>
        <v>TIOMOS 110° zawias do ramy aluminiowej</v>
      </c>
      <c r="AN50" s="30" t="str">
        <f ca="1">CONCATENATE("1D° ",Sprache!$A$200)</f>
        <v>1D° prowadnik</v>
      </c>
      <c r="AO50"/>
      <c r="AR50"/>
      <c r="AS50"/>
      <c r="AT50"/>
      <c r="AU50"/>
      <c r="AV50"/>
    </row>
    <row r="51" spans="1:48" s="9" customFormat="1" ht="15.75" thickBot="1" x14ac:dyDescent="0.3">
      <c r="A51" t="str">
        <f t="shared" ca="1" si="1"/>
        <v/>
      </c>
      <c r="B51" t="str">
        <f t="shared" ca="1" si="0"/>
        <v/>
      </c>
      <c r="C51" s="81">
        <f>IF('Material+Limits'!$P$3=TRUE,1,0)</f>
        <v>1</v>
      </c>
      <c r="D51" s="39">
        <f>IF(Daten!$O51+Daten!$P51+Daten!$R51=3,1,0)</f>
        <v>0</v>
      </c>
      <c r="E51" s="184">
        <f ca="1">IF(AND('Material+Limits'!$Q$21=TRUE,Daten!N51=1)=TRUE,1,0)</f>
        <v>0</v>
      </c>
      <c r="F51" s="185">
        <f>IF(AND('Material+Limits'!$Q$25=TRUE,Daten!M51=1)=TRUE,1,0)</f>
        <v>0</v>
      </c>
      <c r="G51" s="185">
        <f>IF(AND('Material+Limits'!$Q$24=TRUE,Daten!L51=1)=TRUE,1,0)</f>
        <v>0</v>
      </c>
      <c r="H51" s="185">
        <f>IF(AND('Material+Limits'!$Q$23=TRUE,Daten!K51=1)=TRUE,1,0)</f>
        <v>0</v>
      </c>
      <c r="I51" s="185">
        <f>IF(AND('Material+Limits'!$Q$22=TRUE,Daten!J51=1)=TRUE,1,0)</f>
        <v>0</v>
      </c>
      <c r="J51" s="155">
        <f>IF(Daten!$U51=13,1,0)</f>
        <v>1</v>
      </c>
      <c r="K51" s="156">
        <f>IF(Daten!$U51&lt;&gt;Daten!$V51,1,IF(Daten!$U51=14,1,0))</f>
        <v>1</v>
      </c>
      <c r="L51" s="156">
        <f>IF(Daten!$U51&lt;&gt;Daten!$V51,1,IF(Daten!$U51=16,1,0))</f>
        <v>1</v>
      </c>
      <c r="M51" s="156">
        <f>IF(Daten!$V51=17,1,0)</f>
        <v>1</v>
      </c>
      <c r="N51" s="157">
        <f ca="1">IF(Daten!$W51=Sprache!$A$60,1,0)</f>
        <v>0</v>
      </c>
      <c r="O51" s="169">
        <f>IF(AND(Daten!$AK51&lt;=KINVARO!$AW$3,Daten!$AL51&gt;=KINVARO!$AW$3)=TRUE,1,0)</f>
        <v>1</v>
      </c>
      <c r="P51" s="170">
        <f>IF(AND(Daten!$Z51&lt;=KINVARO!$AW$4,Daten!$AA51&gt;=KINVARO!$AW$4)=TRUE,1,0)</f>
        <v>0</v>
      </c>
      <c r="Q51" s="170"/>
      <c r="R51" s="170">
        <f>IF(AND(Daten!$AC51&lt;='Material+Limits'!$I$58,Daten!$AD51&gt;='Material+Limits'!$I$58)=TRUE,1,0)</f>
        <v>0</v>
      </c>
      <c r="S51" s="29">
        <f ca="1">IF(Daten!$X51=Sprache!$A$125,1,0)</f>
        <v>1</v>
      </c>
      <c r="T51" s="30" t="str">
        <f ca="1">Sprache!$A$51</f>
        <v xml:space="preserve">Podnośnik F-20 </v>
      </c>
      <c r="U51" s="32">
        <v>13</v>
      </c>
      <c r="V51" s="29">
        <v>17</v>
      </c>
      <c r="W51" s="30">
        <f ca="1">Sprache!$A$131</f>
        <v>0</v>
      </c>
      <c r="X51" s="30">
        <f ca="1">Sprache!$A$126</f>
        <v>0</v>
      </c>
      <c r="Y51" s="30">
        <f ca="1">Sprache!$A$96</f>
        <v>0</v>
      </c>
      <c r="Z51" s="30">
        <v>750</v>
      </c>
      <c r="AA51" s="28">
        <v>800</v>
      </c>
      <c r="AB51" s="30"/>
      <c r="AC51" s="31">
        <v>8.6</v>
      </c>
      <c r="AD51" s="53">
        <v>19.2</v>
      </c>
      <c r="AE51" s="30" t="s">
        <v>789</v>
      </c>
      <c r="AF51" s="30" t="str">
        <f ca="1">Sprache!$A$101</f>
        <v>Zestaw (prawy+lewy)</v>
      </c>
      <c r="AG51" s="30" t="str">
        <f ca="1">Sprache!$A$109</f>
        <v>Ramię Typ 7</v>
      </c>
      <c r="AH51" s="30" t="str">
        <f ca="1">Sprache!$A$113</f>
        <v>Siłownik D</v>
      </c>
      <c r="AI51" s="30" t="str">
        <f ca="1">Sprache!$A$134</f>
        <v>Adapter do ram aluminiowych, do Kinvaro F-20 zest.</v>
      </c>
      <c r="AJ51" s="30" t="s">
        <v>820</v>
      </c>
      <c r="AK51" s="30">
        <v>400</v>
      </c>
      <c r="AL51" s="28">
        <v>1200</v>
      </c>
      <c r="AM51" s="30" t="str">
        <f ca="1">CONCATENATE("TIOMOS 110° ",Sprache!$A$201)</f>
        <v>TIOMOS 110° zawias do ramy aluminiowej</v>
      </c>
      <c r="AN51" s="30" t="str">
        <f ca="1">CONCATENATE("1D° ",Sprache!$A$200)</f>
        <v>1D° prowadnik</v>
      </c>
    </row>
    <row r="52" spans="1:48" ht="15.75" thickTop="1" x14ac:dyDescent="0.25">
      <c r="A52" t="str">
        <f t="shared" ca="1" si="1"/>
        <v/>
      </c>
      <c r="B52" t="str">
        <f t="shared" ca="1" si="0"/>
        <v/>
      </c>
      <c r="C52" s="79">
        <f>IF('Material+Limits'!$P$12=TRUE,1,0)</f>
        <v>0</v>
      </c>
      <c r="D52" s="39">
        <f>IF(Daten!$O52+Daten!$P52+Daten!$R52=3,1,0)</f>
        <v>0</v>
      </c>
      <c r="E52" s="184">
        <f ca="1">IF(AND('Material+Limits'!$Q$21=TRUE,Daten!N52=1)=TRUE,1,0)</f>
        <v>1</v>
      </c>
      <c r="F52" s="185">
        <f ca="1">IF(AND('Material+Limits'!$Q$25=TRUE,Daten!M52=1)=TRUE,1,0)</f>
        <v>0</v>
      </c>
      <c r="G52" s="185">
        <f ca="1">IF(AND('Material+Limits'!$Q$24=TRUE,Daten!L52=1)=TRUE,1,0)</f>
        <v>0</v>
      </c>
      <c r="H52" s="185">
        <f ca="1">IF(AND('Material+Limits'!$Q$23=TRUE,Daten!K52=1)=TRUE,1,0)</f>
        <v>0</v>
      </c>
      <c r="I52" s="185">
        <f ca="1">IF(AND('Material+Limits'!$Q$22=TRUE,Daten!J52=1)=TRUE,1,0)</f>
        <v>0</v>
      </c>
      <c r="J52" s="158">
        <f ca="1">IF(Daten!$U52=13,1,0)</f>
        <v>0</v>
      </c>
      <c r="K52" s="159">
        <f ca="1">IF(Daten!$U52&lt;&gt;Daten!$V52,1,IF(Daten!$U52=14,1,0))</f>
        <v>0</v>
      </c>
      <c r="L52" s="159">
        <f ca="1">IF(Daten!$U52&lt;&gt;Daten!$V52,1,IF(Daten!$U52=16,1,0))</f>
        <v>0</v>
      </c>
      <c r="M52" s="159">
        <f ca="1">IF(Daten!$V52=17,1,0)</f>
        <v>0</v>
      </c>
      <c r="N52" s="160">
        <f ca="1">IF(Daten!$W52=Sprache!$A$60,1,0)</f>
        <v>1</v>
      </c>
      <c r="O52" s="175">
        <f>IF(AND(Daten!$AK52&lt;=KINVARO!$AW$3,Daten!$AL52&gt;=KINVARO!$AW$3)=TRUE,1,0)</f>
        <v>1</v>
      </c>
      <c r="P52" s="176">
        <f>IF(AND(Daten!$Z52&lt;=KINVARO!$AW$4,Daten!$AA52&gt;=KINVARO!$AW$4)=TRUE,1,0)</f>
        <v>0</v>
      </c>
      <c r="Q52" s="176"/>
      <c r="R52" s="176">
        <f>IF(AND(Daten!$AC52&lt;='Material+Limits'!$I$58,Daten!$AD52&gt;='Material+Limits'!$I$58)=TRUE,1,0)</f>
        <v>0</v>
      </c>
      <c r="S52" s="61">
        <f ca="1">IF(Daten!$X52=Sprache!$A$125,1,0)</f>
        <v>1</v>
      </c>
      <c r="T52" s="63" t="str">
        <f ca="1">Sprache!$A$52</f>
        <v>Podnośnik T-105</v>
      </c>
      <c r="U52" s="60">
        <f ca="1">Sprache!$A$64</f>
        <v>0</v>
      </c>
      <c r="V52" s="61">
        <f ca="1">Sprache!$A$64</f>
        <v>0</v>
      </c>
      <c r="W52" s="62" t="str">
        <f ca="1">Sprache!$A$60</f>
        <v>Front lity (drewno/płyta)</v>
      </c>
      <c r="X52" s="25">
        <f ca="1">Sprache!$A$126</f>
        <v>0</v>
      </c>
      <c r="Y52" s="62" t="str">
        <f ca="1">Sprache!$A$69</f>
        <v>Front</v>
      </c>
      <c r="Z52" s="62">
        <v>300</v>
      </c>
      <c r="AA52" s="63">
        <v>349</v>
      </c>
      <c r="AB52" s="62"/>
      <c r="AC52" s="64">
        <v>1.6</v>
      </c>
      <c r="AD52" s="65">
        <v>4.3</v>
      </c>
      <c r="AE52" s="62" t="s">
        <v>790</v>
      </c>
      <c r="AF52" s="62" t="str">
        <f ca="1">Sprache!$A$102</f>
        <v>Lewy</v>
      </c>
      <c r="AG52" s="62" t="str">
        <f ca="1">Sprache!$A$123</f>
        <v>1 podnośnik T-105</v>
      </c>
      <c r="AH52" s="62" t="str">
        <f ca="1">Sprache!$A$115</f>
        <v>Sprężyna standard</v>
      </c>
      <c r="AI52" s="62" t="str">
        <f ca="1">Sprache!$A$138</f>
        <v>podnośnik T-105 prawy</v>
      </c>
      <c r="AJ52" s="62" t="s">
        <v>821</v>
      </c>
      <c r="AK52" s="62">
        <f>'Material+Limits'!$K$9</f>
        <v>200</v>
      </c>
      <c r="AL52" s="63">
        <v>1200</v>
      </c>
      <c r="AM52" s="30" t="str">
        <f ca="1">CONCATENATE("TIOMOS 110° ",Sprache!$A$88)</f>
        <v>TIOMOS 110° zawias</v>
      </c>
      <c r="AN52" s="30" t="str">
        <f ca="1">CONCATENATE("1D° ",Sprache!$A$200)</f>
        <v>1D° prowadnik</v>
      </c>
      <c r="AO52"/>
      <c r="AR52"/>
      <c r="AS52"/>
      <c r="AT52"/>
      <c r="AU52"/>
      <c r="AV52"/>
    </row>
    <row r="53" spans="1:48" x14ac:dyDescent="0.25">
      <c r="A53" t="str">
        <f t="shared" ca="1" si="1"/>
        <v/>
      </c>
      <c r="B53" t="str">
        <f t="shared" ca="1" si="0"/>
        <v/>
      </c>
      <c r="C53" s="79">
        <f>IF('Material+Limits'!$P$12=TRUE,1,0)</f>
        <v>0</v>
      </c>
      <c r="D53" s="39">
        <f>IF(Daten!$O53+Daten!$P53+Daten!$R53=3,1,0)</f>
        <v>0</v>
      </c>
      <c r="E53" s="184">
        <f ca="1">IF(AND('Material+Limits'!$Q$21=TRUE,Daten!N53=1)=TRUE,1,0)</f>
        <v>1</v>
      </c>
      <c r="F53" s="185">
        <f ca="1">IF(AND('Material+Limits'!$Q$25=TRUE,Daten!M53=1)=TRUE,1,0)</f>
        <v>0</v>
      </c>
      <c r="G53" s="185">
        <f ca="1">IF(AND('Material+Limits'!$Q$24=TRUE,Daten!L53=1)=TRUE,1,0)</f>
        <v>0</v>
      </c>
      <c r="H53" s="185">
        <f ca="1">IF(AND('Material+Limits'!$Q$23=TRUE,Daten!K53=1)=TRUE,1,0)</f>
        <v>0</v>
      </c>
      <c r="I53" s="185">
        <f ca="1">IF(AND('Material+Limits'!$Q$22=TRUE,Daten!J53=1)=TRUE,1,0)</f>
        <v>0</v>
      </c>
      <c r="J53" s="155">
        <f ca="1">IF(Daten!$U53=13,1,0)</f>
        <v>0</v>
      </c>
      <c r="K53" s="156">
        <f ca="1">IF(Daten!$U53&lt;&gt;Daten!$V53,1,IF(Daten!$U53=14,1,0))</f>
        <v>0</v>
      </c>
      <c r="L53" s="156">
        <f ca="1">IF(Daten!$U53&lt;&gt;Daten!$V53,1,IF(Daten!$U53=16,1,0))</f>
        <v>0</v>
      </c>
      <c r="M53" s="156">
        <f ca="1">IF(Daten!$V53=17,1,0)</f>
        <v>0</v>
      </c>
      <c r="N53" s="157">
        <f ca="1">IF(Daten!$W53=Sprache!$A$60,1,0)</f>
        <v>1</v>
      </c>
      <c r="O53" s="169">
        <f>IF(AND(Daten!$AK53&lt;=KINVARO!$AW$3,Daten!$AL53&gt;=KINVARO!$AW$3)=TRUE,1,0)</f>
        <v>1</v>
      </c>
      <c r="P53" s="170">
        <f>IF(AND(Daten!$Z53&lt;=KINVARO!$AW$4,Daten!$AA53&gt;=KINVARO!$AW$4)=TRUE,1,0)</f>
        <v>0</v>
      </c>
      <c r="R53" s="170">
        <f>IF(AND(Daten!$AC53&lt;='Material+Limits'!$I$58,Daten!$AD53&gt;='Material+Limits'!$I$58)=TRUE,1,0)</f>
        <v>0</v>
      </c>
      <c r="S53" s="29">
        <f ca="1">IF(Daten!$X53=Sprache!$A$125,1,0)</f>
        <v>1</v>
      </c>
      <c r="T53" s="28" t="str">
        <f ca="1">Sprache!$A$52</f>
        <v>Podnośnik T-105</v>
      </c>
      <c r="U53" s="32">
        <f ca="1">Sprache!$A$64</f>
        <v>0</v>
      </c>
      <c r="V53" s="29">
        <f ca="1">Sprache!$A$64</f>
        <v>0</v>
      </c>
      <c r="W53" s="30" t="str">
        <f ca="1">Sprache!$A$60</f>
        <v>Front lity (drewno/płyta)</v>
      </c>
      <c r="X53" s="30">
        <f ca="1">Sprache!$A$126</f>
        <v>0</v>
      </c>
      <c r="Y53" s="30" t="str">
        <f ca="1">Sprache!$A$69</f>
        <v>Front</v>
      </c>
      <c r="Z53" s="30">
        <v>300</v>
      </c>
      <c r="AA53" s="28">
        <v>349</v>
      </c>
      <c r="AB53" s="30"/>
      <c r="AC53" s="31">
        <v>2.8</v>
      </c>
      <c r="AD53" s="53">
        <v>5.2</v>
      </c>
      <c r="AE53" s="30" t="s">
        <v>791</v>
      </c>
      <c r="AF53" s="30" t="str">
        <f ca="1">Sprache!$A$102</f>
        <v>Lewy</v>
      </c>
      <c r="AG53" s="30" t="str">
        <f ca="1">Sprache!$A$123</f>
        <v>1 podnośnik T-105</v>
      </c>
      <c r="AH53" s="30" t="str">
        <f ca="1">Sprache!$A$116</f>
        <v>Sprężyna czarna</v>
      </c>
      <c r="AI53" s="30" t="str">
        <f ca="1">Sprache!$A$138</f>
        <v>podnośnik T-105 prawy</v>
      </c>
      <c r="AJ53" s="30" t="s">
        <v>822</v>
      </c>
      <c r="AK53" s="30">
        <f>'Material+Limits'!$K$9</f>
        <v>200</v>
      </c>
      <c r="AL53" s="28">
        <v>1200</v>
      </c>
      <c r="AM53" s="30" t="str">
        <f ca="1">CONCATENATE("TIOMOS 110° ",Sprache!$A$88)</f>
        <v>TIOMOS 110° zawias</v>
      </c>
      <c r="AN53" s="30" t="str">
        <f ca="1">CONCATENATE("1D° ",Sprache!$A$200)</f>
        <v>1D° prowadnik</v>
      </c>
      <c r="AO53"/>
      <c r="AR53"/>
      <c r="AS53"/>
      <c r="AT53"/>
      <c r="AU53"/>
      <c r="AV53"/>
    </row>
    <row r="54" spans="1:48" x14ac:dyDescent="0.25">
      <c r="A54" t="str">
        <f t="shared" ca="1" si="1"/>
        <v/>
      </c>
      <c r="B54" t="str">
        <f t="shared" ca="1" si="0"/>
        <v/>
      </c>
      <c r="C54" s="79">
        <f>IF('Material+Limits'!$P$12=TRUE,1,0)</f>
        <v>0</v>
      </c>
      <c r="D54" s="39">
        <f>IF(Daten!$O54+Daten!$P54+Daten!$R54=3,1,0)</f>
        <v>0</v>
      </c>
      <c r="E54" s="184">
        <f ca="1">IF(AND('Material+Limits'!$Q$21=TRUE,Daten!N54=1)=TRUE,1,0)</f>
        <v>0</v>
      </c>
      <c r="F54" s="185">
        <f>IF(AND('Material+Limits'!$Q$25=TRUE,Daten!M54=1)=TRUE,1,0)</f>
        <v>0</v>
      </c>
      <c r="G54" s="185">
        <f>IF(AND('Material+Limits'!$Q$24=TRUE,Daten!L54=1)=TRUE,1,0)</f>
        <v>0</v>
      </c>
      <c r="H54" s="185">
        <f>IF(AND('Material+Limits'!$Q$23=TRUE,Daten!K54=1)=TRUE,1,0)</f>
        <v>0</v>
      </c>
      <c r="I54" s="185">
        <f>IF(AND('Material+Limits'!$Q$22=TRUE,Daten!J54=1)=TRUE,1,0)</f>
        <v>0</v>
      </c>
      <c r="J54" s="158">
        <f>IF(Daten!$U54=13,1,0)</f>
        <v>0</v>
      </c>
      <c r="K54" s="159">
        <f>IF(Daten!$U54&lt;&gt;Daten!$V54,1,IF(Daten!$U54=14,1,0))</f>
        <v>1</v>
      </c>
      <c r="L54" s="159">
        <f>IF(Daten!$U54&lt;&gt;Daten!$V54,1,IF(Daten!$U54=16,1,0))</f>
        <v>0</v>
      </c>
      <c r="M54" s="159">
        <f>IF(Daten!$V54=17,1,0)</f>
        <v>0</v>
      </c>
      <c r="N54" s="160">
        <f ca="1">IF(Daten!$W54=Sprache!$A$60,1,0)</f>
        <v>0</v>
      </c>
      <c r="O54" s="171">
        <f>IF(AND(Daten!$AK54&lt;=KINVARO!$AW$3,Daten!$AL54&gt;=KINVARO!$AW$3)=TRUE,1,0)</f>
        <v>1</v>
      </c>
      <c r="P54" s="172">
        <f>IF(AND(Daten!$Z54&lt;=KINVARO!$AW$4,Daten!$AA54&gt;=KINVARO!$AW$4)=TRUE,1,0)</f>
        <v>0</v>
      </c>
      <c r="Q54" s="172"/>
      <c r="R54" s="172">
        <f>IF(AND(Daten!$AC54&lt;='Material+Limits'!$I$58,Daten!$AD54&gt;='Material+Limits'!$I$58)=TRUE,1,0)</f>
        <v>0</v>
      </c>
      <c r="S54" s="23">
        <f ca="1">IF(Daten!$X54=Sprache!$A$125,1,0)</f>
        <v>1</v>
      </c>
      <c r="T54" s="24" t="str">
        <f ca="1">Sprache!$A$52</f>
        <v>Podnośnik T-105</v>
      </c>
      <c r="U54" s="27">
        <v>14</v>
      </c>
      <c r="V54" s="23">
        <v>14</v>
      </c>
      <c r="W54" s="25">
        <f ca="1">Sprache!$A$131</f>
        <v>0</v>
      </c>
      <c r="X54" s="25">
        <f ca="1">Sprache!$A$126</f>
        <v>0</v>
      </c>
      <c r="Y54" s="25" t="str">
        <f ca="1">Sprache!$A$69</f>
        <v>Front</v>
      </c>
      <c r="Z54" s="25">
        <v>300</v>
      </c>
      <c r="AA54" s="24">
        <v>349</v>
      </c>
      <c r="AB54" s="25"/>
      <c r="AC54" s="26">
        <v>1.6</v>
      </c>
      <c r="AD54" s="54">
        <v>4.3</v>
      </c>
      <c r="AE54" s="25" t="s">
        <v>792</v>
      </c>
      <c r="AF54" s="25" t="str">
        <f ca="1">Sprache!$A$102</f>
        <v>Lewy</v>
      </c>
      <c r="AG54" s="25" t="str">
        <f ca="1">Sprache!$A$123</f>
        <v>1 podnośnik T-105</v>
      </c>
      <c r="AH54" s="25" t="str">
        <f ca="1">Sprache!$A$115</f>
        <v>Sprężyna standard</v>
      </c>
      <c r="AI54" s="25" t="str">
        <f ca="1">Sprache!$A$138</f>
        <v>podnośnik T-105 prawy</v>
      </c>
      <c r="AJ54" s="25" t="s">
        <v>823</v>
      </c>
      <c r="AK54" s="25">
        <f>'Material+Limits'!$K$9</f>
        <v>200</v>
      </c>
      <c r="AL54" s="24">
        <v>1200</v>
      </c>
      <c r="AM54" s="30" t="str">
        <f ca="1">CONCATENATE("TIOMOS 110° ",Sprache!$A$201)</f>
        <v>TIOMOS 110° zawias do ramy aluminiowej</v>
      </c>
      <c r="AN54" s="30" t="str">
        <f ca="1">CONCATENATE("1D° ",Sprache!$A$200)</f>
        <v>1D° prowadnik</v>
      </c>
      <c r="AO54"/>
      <c r="AR54"/>
      <c r="AS54"/>
      <c r="AT54"/>
      <c r="AU54"/>
      <c r="AV54"/>
    </row>
    <row r="55" spans="1:48" x14ac:dyDescent="0.25">
      <c r="A55" t="str">
        <f t="shared" ca="1" si="1"/>
        <v/>
      </c>
      <c r="B55" t="str">
        <f t="shared" ca="1" si="0"/>
        <v/>
      </c>
      <c r="C55" s="79">
        <f>IF('Material+Limits'!$P$12=TRUE,1,0)</f>
        <v>0</v>
      </c>
      <c r="D55" s="39">
        <f>IF(Daten!$O55+Daten!$P55+Daten!$R55=3,1,0)</f>
        <v>0</v>
      </c>
      <c r="E55" s="184">
        <f ca="1">IF(AND('Material+Limits'!$Q$21=TRUE,Daten!N55=1)=TRUE,1,0)</f>
        <v>0</v>
      </c>
      <c r="F55" s="185">
        <f>IF(AND('Material+Limits'!$Q$25=TRUE,Daten!M55=1)=TRUE,1,0)</f>
        <v>0</v>
      </c>
      <c r="G55" s="185">
        <f>IF(AND('Material+Limits'!$Q$24=TRUE,Daten!L55=1)=TRUE,1,0)</f>
        <v>0</v>
      </c>
      <c r="H55" s="185">
        <f>IF(AND('Material+Limits'!$Q$23=TRUE,Daten!K55=1)=TRUE,1,0)</f>
        <v>0</v>
      </c>
      <c r="I55" s="185">
        <f>IF(AND('Material+Limits'!$Q$22=TRUE,Daten!J55=1)=TRUE,1,0)</f>
        <v>0</v>
      </c>
      <c r="J55" s="155">
        <f>IF(Daten!$U55=13,1,0)</f>
        <v>0</v>
      </c>
      <c r="K55" s="156">
        <f>IF(Daten!$U55&lt;&gt;Daten!$V55,1,IF(Daten!$U55=14,1,0))</f>
        <v>0</v>
      </c>
      <c r="L55" s="156">
        <f>IF(Daten!$U55&lt;&gt;Daten!$V55,1,IF(Daten!$U55=16,1,0))</f>
        <v>1</v>
      </c>
      <c r="M55" s="156">
        <f>IF(Daten!$V55=17,1,0)</f>
        <v>0</v>
      </c>
      <c r="N55" s="157">
        <f ca="1">IF(Daten!$W55=Sprache!$A$60,1,0)</f>
        <v>0</v>
      </c>
      <c r="O55" s="169">
        <f>IF(AND(Daten!$AK55&lt;=KINVARO!$AW$3,Daten!$AL55&gt;=KINVARO!$AW$3)=TRUE,1,0)</f>
        <v>1</v>
      </c>
      <c r="P55" s="170">
        <f>IF(AND(Daten!$Z55&lt;=KINVARO!$AW$4,Daten!$AA55&gt;=KINVARO!$AW$4)=TRUE,1,0)</f>
        <v>0</v>
      </c>
      <c r="R55" s="170">
        <f>IF(AND(Daten!$AC55&lt;='Material+Limits'!$I$58,Daten!$AD55&gt;='Material+Limits'!$I$58)=TRUE,1,0)</f>
        <v>0</v>
      </c>
      <c r="S55" s="29">
        <f ca="1">IF(Daten!$X55=Sprache!$A$125,1,0)</f>
        <v>1</v>
      </c>
      <c r="T55" s="28" t="str">
        <f ca="1">Sprache!$A$52</f>
        <v>Podnośnik T-105</v>
      </c>
      <c r="U55" s="32">
        <v>16</v>
      </c>
      <c r="V55" s="29">
        <v>16</v>
      </c>
      <c r="W55" s="30">
        <f ca="1">Sprache!$A$131</f>
        <v>0</v>
      </c>
      <c r="X55" s="30">
        <f ca="1">Sprache!$A$126</f>
        <v>0</v>
      </c>
      <c r="Y55" s="30" t="str">
        <f ca="1">Sprache!$A$69</f>
        <v>Front</v>
      </c>
      <c r="Z55" s="30">
        <v>300</v>
      </c>
      <c r="AA55" s="28">
        <v>349</v>
      </c>
      <c r="AB55" s="30"/>
      <c r="AC55" s="31">
        <v>1.6</v>
      </c>
      <c r="AD55" s="53">
        <v>4.3</v>
      </c>
      <c r="AE55" s="30" t="s">
        <v>793</v>
      </c>
      <c r="AF55" s="30" t="str">
        <f ca="1">Sprache!$A$102</f>
        <v>Lewy</v>
      </c>
      <c r="AG55" s="30" t="str">
        <f ca="1">Sprache!$A$123</f>
        <v>1 podnośnik T-105</v>
      </c>
      <c r="AH55" s="30" t="str">
        <f ca="1">Sprache!$A$115</f>
        <v>Sprężyna standard</v>
      </c>
      <c r="AI55" s="30" t="str">
        <f ca="1">Sprache!$A$138</f>
        <v>podnośnik T-105 prawy</v>
      </c>
      <c r="AJ55" s="30" t="s">
        <v>824</v>
      </c>
      <c r="AK55" s="30">
        <f>'Material+Limits'!$K$9</f>
        <v>200</v>
      </c>
      <c r="AL55" s="28">
        <v>1200</v>
      </c>
      <c r="AM55" s="30" t="str">
        <f ca="1">CONCATENATE("TIOMOS 110° ",Sprache!$A$201)</f>
        <v>TIOMOS 110° zawias do ramy aluminiowej</v>
      </c>
      <c r="AN55" s="30" t="str">
        <f ca="1">CONCATENATE("1D° ",Sprache!$A$200)</f>
        <v>1D° prowadnik</v>
      </c>
      <c r="AO55"/>
      <c r="AR55"/>
      <c r="AS55"/>
      <c r="AT55"/>
      <c r="AU55"/>
      <c r="AV55"/>
    </row>
    <row r="56" spans="1:48" x14ac:dyDescent="0.25">
      <c r="A56" t="str">
        <f t="shared" ca="1" si="1"/>
        <v/>
      </c>
      <c r="B56" t="str">
        <f t="shared" ca="1" si="0"/>
        <v/>
      </c>
      <c r="C56" s="79">
        <f>IF('Material+Limits'!$P$12=TRUE,1,0)</f>
        <v>0</v>
      </c>
      <c r="D56" s="39">
        <f>IF(Daten!$O56+Daten!$P56+Daten!$R56=3,1,0)</f>
        <v>0</v>
      </c>
      <c r="E56" s="184">
        <f ca="1">IF(AND('Material+Limits'!$Q$21=TRUE,Daten!N56=1)=TRUE,1,0)</f>
        <v>1</v>
      </c>
      <c r="F56" s="185">
        <f ca="1">IF(AND('Material+Limits'!$Q$25=TRUE,Daten!M56=1)=TRUE,1,0)</f>
        <v>0</v>
      </c>
      <c r="G56" s="185">
        <f ca="1">IF(AND('Material+Limits'!$Q$24=TRUE,Daten!L56=1)=TRUE,1,0)</f>
        <v>0</v>
      </c>
      <c r="H56" s="185">
        <f ca="1">IF(AND('Material+Limits'!$Q$23=TRUE,Daten!K56=1)=TRUE,1,0)</f>
        <v>0</v>
      </c>
      <c r="I56" s="185">
        <f ca="1">IF(AND('Material+Limits'!$Q$22=TRUE,Daten!J56=1)=TRUE,1,0)</f>
        <v>0</v>
      </c>
      <c r="J56" s="158">
        <f ca="1">IF(Daten!$U56=13,1,0)</f>
        <v>0</v>
      </c>
      <c r="K56" s="159">
        <f ca="1">IF(Daten!$U56&lt;&gt;Daten!$V56,1,IF(Daten!$U56=14,1,0))</f>
        <v>0</v>
      </c>
      <c r="L56" s="159">
        <f ca="1">IF(Daten!$U56&lt;&gt;Daten!$V56,1,IF(Daten!$U56=16,1,0))</f>
        <v>0</v>
      </c>
      <c r="M56" s="159">
        <f ca="1">IF(Daten!$V56=17,1,0)</f>
        <v>0</v>
      </c>
      <c r="N56" s="160">
        <f ca="1">IF(Daten!$W56=Sprache!$A$60,1,0)</f>
        <v>1</v>
      </c>
      <c r="O56" s="171">
        <f>IF(AND(Daten!$AK56&lt;=KINVARO!$AW$3,Daten!$AL56&gt;=KINVARO!$AW$3)=TRUE,1,0)</f>
        <v>1</v>
      </c>
      <c r="P56" s="172">
        <f>IF(AND(Daten!$Z56&lt;=KINVARO!$AW$4,Daten!$AA56&gt;=KINVARO!$AW$4)=TRUE,1,0)</f>
        <v>0</v>
      </c>
      <c r="Q56" s="172"/>
      <c r="R56" s="172">
        <f>IF(AND(Daten!$AC56&lt;='Material+Limits'!$I$58,Daten!$AD56&gt;='Material+Limits'!$I$58)=TRUE,1,0)</f>
        <v>1</v>
      </c>
      <c r="S56" s="23">
        <f ca="1">IF(Daten!$X56=Sprache!$A$125,1,0)</f>
        <v>1</v>
      </c>
      <c r="T56" s="24" t="str">
        <f ca="1">Sprache!$A$52</f>
        <v>Podnośnik T-105</v>
      </c>
      <c r="U56" s="27">
        <f ca="1">Sprache!$A$64</f>
        <v>0</v>
      </c>
      <c r="V56" s="23">
        <f ca="1">Sprache!$A$64</f>
        <v>0</v>
      </c>
      <c r="W56" s="25" t="str">
        <f ca="1">Sprache!$A$60</f>
        <v>Front lity (drewno/płyta)</v>
      </c>
      <c r="X56" s="25">
        <f ca="1">Sprache!$A$126</f>
        <v>0</v>
      </c>
      <c r="Y56" s="25" t="str">
        <f ca="1">Sprache!$A$69</f>
        <v>Front</v>
      </c>
      <c r="Z56" s="25">
        <v>300</v>
      </c>
      <c r="AA56" s="24">
        <v>349</v>
      </c>
      <c r="AB56" s="25"/>
      <c r="AC56" s="26">
        <v>3.2</v>
      </c>
      <c r="AD56" s="54">
        <v>8.6</v>
      </c>
      <c r="AE56" s="25" t="s">
        <v>790</v>
      </c>
      <c r="AF56" s="25" t="str">
        <f ca="1">Sprache!$A$102</f>
        <v>Lewy</v>
      </c>
      <c r="AG56" s="25" t="str">
        <f ca="1">Sprache!$A$124</f>
        <v>2 podnośniki T-105</v>
      </c>
      <c r="AH56" s="25" t="str">
        <f ca="1">Sprache!$A$115</f>
        <v>Sprężyna standard</v>
      </c>
      <c r="AI56" s="25" t="str">
        <f ca="1">Sprache!$A$138</f>
        <v>podnośnik T-105 prawy</v>
      </c>
      <c r="AJ56" s="25" t="s">
        <v>821</v>
      </c>
      <c r="AK56" s="25">
        <f>'Material+Limits'!$K$9</f>
        <v>200</v>
      </c>
      <c r="AL56" s="24">
        <v>1200</v>
      </c>
      <c r="AM56" s="30" t="str">
        <f ca="1">CONCATENATE("TIOMOS 110° ",Sprache!$A$88)</f>
        <v>TIOMOS 110° zawias</v>
      </c>
      <c r="AN56" s="30" t="str">
        <f ca="1">CONCATENATE("1D° ",Sprache!$A$200)</f>
        <v>1D° prowadnik</v>
      </c>
      <c r="AO56"/>
      <c r="AR56"/>
      <c r="AS56"/>
      <c r="AT56"/>
      <c r="AU56"/>
      <c r="AV56"/>
    </row>
    <row r="57" spans="1:48" x14ac:dyDescent="0.25">
      <c r="A57" t="str">
        <f t="shared" ca="1" si="1"/>
        <v/>
      </c>
      <c r="B57" t="str">
        <f t="shared" ca="1" si="0"/>
        <v/>
      </c>
      <c r="C57" s="79">
        <f>IF('Material+Limits'!$P$12=TRUE,1,0)</f>
        <v>0</v>
      </c>
      <c r="D57" s="39">
        <f>IF(Daten!$O57+Daten!$P57+Daten!$R57=3,1,0)</f>
        <v>0</v>
      </c>
      <c r="E57" s="184">
        <f ca="1">IF(AND('Material+Limits'!$Q$21=TRUE,Daten!N57=1)=TRUE,1,0)</f>
        <v>1</v>
      </c>
      <c r="F57" s="185">
        <f ca="1">IF(AND('Material+Limits'!$Q$25=TRUE,Daten!M57=1)=TRUE,1,0)</f>
        <v>0</v>
      </c>
      <c r="G57" s="185">
        <f ca="1">IF(AND('Material+Limits'!$Q$24=TRUE,Daten!L57=1)=TRUE,1,0)</f>
        <v>0</v>
      </c>
      <c r="H57" s="185">
        <f ca="1">IF(AND('Material+Limits'!$Q$23=TRUE,Daten!K57=1)=TRUE,1,0)</f>
        <v>0</v>
      </c>
      <c r="I57" s="185">
        <f ca="1">IF(AND('Material+Limits'!$Q$22=TRUE,Daten!J57=1)=TRUE,1,0)</f>
        <v>0</v>
      </c>
      <c r="J57" s="155">
        <f ca="1">IF(Daten!$U57=13,1,0)</f>
        <v>0</v>
      </c>
      <c r="K57" s="156">
        <f ca="1">IF(Daten!$U57&lt;&gt;Daten!$V57,1,IF(Daten!$U57=14,1,0))</f>
        <v>0</v>
      </c>
      <c r="L57" s="156">
        <f ca="1">IF(Daten!$U57&lt;&gt;Daten!$V57,1,IF(Daten!$U57=16,1,0))</f>
        <v>0</v>
      </c>
      <c r="M57" s="156">
        <f ca="1">IF(Daten!$V57=17,1,0)</f>
        <v>0</v>
      </c>
      <c r="N57" s="157">
        <f ca="1">IF(Daten!$W57=Sprache!$A$60,1,0)</f>
        <v>1</v>
      </c>
      <c r="O57" s="169">
        <f>IF(AND(Daten!$AK57&lt;=KINVARO!$AW$3,Daten!$AL57&gt;=KINVARO!$AW$3)=TRUE,1,0)</f>
        <v>1</v>
      </c>
      <c r="P57" s="170">
        <f>IF(AND(Daten!$Z57&lt;=KINVARO!$AW$4,Daten!$AA57&gt;=KINVARO!$AW$4)=TRUE,1,0)</f>
        <v>0</v>
      </c>
      <c r="R57" s="170">
        <f>IF(AND(Daten!$AC57&lt;='Material+Limits'!$I$58,Daten!$AD57&gt;='Material+Limits'!$I$58)=TRUE,1,0)</f>
        <v>1</v>
      </c>
      <c r="S57" s="29">
        <f ca="1">IF(Daten!$X57=Sprache!$A$125,1,0)</f>
        <v>1</v>
      </c>
      <c r="T57" s="28" t="str">
        <f ca="1">Sprache!$A$52</f>
        <v>Podnośnik T-105</v>
      </c>
      <c r="U57" s="32">
        <f ca="1">Sprache!$A$64</f>
        <v>0</v>
      </c>
      <c r="V57" s="29">
        <f ca="1">Sprache!$A$64</f>
        <v>0</v>
      </c>
      <c r="W57" s="30" t="str">
        <f ca="1">Sprache!$A$60</f>
        <v>Front lity (drewno/płyta)</v>
      </c>
      <c r="X57" s="30">
        <f ca="1">Sprache!$A$126</f>
        <v>0</v>
      </c>
      <c r="Y57" s="30" t="str">
        <f ca="1">Sprache!$A$69</f>
        <v>Front</v>
      </c>
      <c r="Z57" s="30">
        <v>300</v>
      </c>
      <c r="AA57" s="28">
        <v>349</v>
      </c>
      <c r="AB57" s="30"/>
      <c r="AC57" s="31">
        <v>5.5</v>
      </c>
      <c r="AD57" s="53">
        <v>10.4</v>
      </c>
      <c r="AE57" s="30" t="s">
        <v>791</v>
      </c>
      <c r="AF57" s="30" t="str">
        <f ca="1">Sprache!$A$102</f>
        <v>Lewy</v>
      </c>
      <c r="AG57" s="30" t="str">
        <f ca="1">Sprache!$A$124</f>
        <v>2 podnośniki T-105</v>
      </c>
      <c r="AH57" s="30" t="str">
        <f ca="1">Sprache!$A$116</f>
        <v>Sprężyna czarna</v>
      </c>
      <c r="AI57" s="30" t="str">
        <f ca="1">Sprache!$A$138</f>
        <v>podnośnik T-105 prawy</v>
      </c>
      <c r="AJ57" s="30" t="s">
        <v>822</v>
      </c>
      <c r="AK57" s="30">
        <f>'Material+Limits'!$K$9</f>
        <v>200</v>
      </c>
      <c r="AL57" s="28">
        <v>1200</v>
      </c>
      <c r="AM57" s="30" t="str">
        <f ca="1">CONCATENATE("TIOMOS 110° ",Sprache!$A$88)</f>
        <v>TIOMOS 110° zawias</v>
      </c>
      <c r="AN57" s="30" t="str">
        <f ca="1">CONCATENATE("1D° ",Sprache!$A$200)</f>
        <v>1D° prowadnik</v>
      </c>
      <c r="AO57"/>
      <c r="AR57"/>
      <c r="AS57"/>
      <c r="AT57"/>
      <c r="AU57"/>
      <c r="AV57"/>
    </row>
    <row r="58" spans="1:48" x14ac:dyDescent="0.25">
      <c r="A58" t="str">
        <f t="shared" ca="1" si="1"/>
        <v/>
      </c>
      <c r="B58" t="str">
        <f t="shared" ca="1" si="0"/>
        <v/>
      </c>
      <c r="C58" s="79">
        <f>IF('Material+Limits'!$P$12=TRUE,1,0)</f>
        <v>0</v>
      </c>
      <c r="D58" s="39">
        <f>IF(Daten!$O58+Daten!$P58+Daten!$R58=3,1,0)</f>
        <v>0</v>
      </c>
      <c r="E58" s="184">
        <f ca="1">IF(AND('Material+Limits'!$Q$21=TRUE,Daten!N58=1)=TRUE,1,0)</f>
        <v>0</v>
      </c>
      <c r="F58" s="185">
        <f>IF(AND('Material+Limits'!$Q$25=TRUE,Daten!M58=1)=TRUE,1,0)</f>
        <v>0</v>
      </c>
      <c r="G58" s="185">
        <f>IF(AND('Material+Limits'!$Q$24=TRUE,Daten!L58=1)=TRUE,1,0)</f>
        <v>0</v>
      </c>
      <c r="H58" s="185">
        <f>IF(AND('Material+Limits'!$Q$23=TRUE,Daten!K58=1)=TRUE,1,0)</f>
        <v>0</v>
      </c>
      <c r="I58" s="185">
        <f>IF(AND('Material+Limits'!$Q$22=TRUE,Daten!J58=1)=TRUE,1,0)</f>
        <v>0</v>
      </c>
      <c r="J58" s="158">
        <f>IF(Daten!$U58=13,1,0)</f>
        <v>0</v>
      </c>
      <c r="K58" s="159">
        <f>IF(Daten!$U58&lt;&gt;Daten!$V58,1,IF(Daten!$U58=14,1,0))</f>
        <v>1</v>
      </c>
      <c r="L58" s="159">
        <f>IF(Daten!$U58&lt;&gt;Daten!$V58,1,IF(Daten!$U58=16,1,0))</f>
        <v>0</v>
      </c>
      <c r="M58" s="159">
        <f>IF(Daten!$V58=17,1,0)</f>
        <v>0</v>
      </c>
      <c r="N58" s="160">
        <f ca="1">IF(Daten!$W58=Sprache!$A$60,1,0)</f>
        <v>0</v>
      </c>
      <c r="O58" s="171">
        <f>IF(AND(Daten!$AK58&lt;=KINVARO!$AW$3,Daten!$AL58&gt;=KINVARO!$AW$3)=TRUE,1,0)</f>
        <v>1</v>
      </c>
      <c r="P58" s="172">
        <f>IF(AND(Daten!$Z58&lt;=KINVARO!$AW$4,Daten!$AA58&gt;=KINVARO!$AW$4)=TRUE,1,0)</f>
        <v>0</v>
      </c>
      <c r="Q58" s="172"/>
      <c r="R58" s="172">
        <f>IF(AND(Daten!$AC58&lt;='Material+Limits'!$I$58,Daten!$AD58&gt;='Material+Limits'!$I$58)=TRUE,1,0)</f>
        <v>1</v>
      </c>
      <c r="S58" s="23">
        <f ca="1">IF(Daten!$X58=Sprache!$A$125,1,0)</f>
        <v>1</v>
      </c>
      <c r="T58" s="24" t="str">
        <f ca="1">Sprache!$A$52</f>
        <v>Podnośnik T-105</v>
      </c>
      <c r="U58" s="27">
        <v>14</v>
      </c>
      <c r="V58" s="23">
        <v>14</v>
      </c>
      <c r="W58" s="25">
        <f ca="1">Sprache!$A$131</f>
        <v>0</v>
      </c>
      <c r="X58" s="25">
        <f ca="1">Sprache!$A$126</f>
        <v>0</v>
      </c>
      <c r="Y58" s="25" t="str">
        <f ca="1">Sprache!$A$69</f>
        <v>Front</v>
      </c>
      <c r="Z58" s="25">
        <v>300</v>
      </c>
      <c r="AA58" s="24">
        <v>349</v>
      </c>
      <c r="AB58" s="25"/>
      <c r="AC58" s="26">
        <v>3.2</v>
      </c>
      <c r="AD58" s="54">
        <v>8.6</v>
      </c>
      <c r="AE58" s="25" t="s">
        <v>792</v>
      </c>
      <c r="AF58" s="25" t="str">
        <f ca="1">Sprache!$A$102</f>
        <v>Lewy</v>
      </c>
      <c r="AG58" s="25" t="str">
        <f ca="1">Sprache!$A$124</f>
        <v>2 podnośniki T-105</v>
      </c>
      <c r="AH58" s="25" t="str">
        <f ca="1">Sprache!$A$115</f>
        <v>Sprężyna standard</v>
      </c>
      <c r="AI58" s="25" t="str">
        <f ca="1">Sprache!$A$138</f>
        <v>podnośnik T-105 prawy</v>
      </c>
      <c r="AJ58" s="25" t="s">
        <v>823</v>
      </c>
      <c r="AK58" s="25">
        <f>'Material+Limits'!$K$9</f>
        <v>200</v>
      </c>
      <c r="AL58" s="24">
        <v>1200</v>
      </c>
      <c r="AM58" s="30" t="str">
        <f ca="1">CONCATENATE("TIOMOS 110° ",Sprache!$A$201)</f>
        <v>TIOMOS 110° zawias do ramy aluminiowej</v>
      </c>
      <c r="AN58" s="30" t="str">
        <f ca="1">CONCATENATE("1D° ",Sprache!$A$200)</f>
        <v>1D° prowadnik</v>
      </c>
      <c r="AO58"/>
      <c r="AR58"/>
      <c r="AS58"/>
      <c r="AT58"/>
      <c r="AU58"/>
      <c r="AV58"/>
    </row>
    <row r="59" spans="1:48" s="5" customFormat="1" x14ac:dyDescent="0.25">
      <c r="A59" t="str">
        <f t="shared" ca="1" si="1"/>
        <v/>
      </c>
      <c r="B59" t="str">
        <f t="shared" ca="1" si="0"/>
        <v/>
      </c>
      <c r="C59" s="79">
        <f>IF('Material+Limits'!$P$12=TRUE,1,0)</f>
        <v>0</v>
      </c>
      <c r="D59" s="39">
        <f>IF(Daten!$O59+Daten!$P59+Daten!$R59=3,1,0)</f>
        <v>0</v>
      </c>
      <c r="E59" s="184">
        <f ca="1">IF(AND('Material+Limits'!$Q$21=TRUE,Daten!N59=1)=TRUE,1,0)</f>
        <v>0</v>
      </c>
      <c r="F59" s="185">
        <f>IF(AND('Material+Limits'!$Q$25=TRUE,Daten!M59=1)=TRUE,1,0)</f>
        <v>0</v>
      </c>
      <c r="G59" s="185">
        <f>IF(AND('Material+Limits'!$Q$24=TRUE,Daten!L59=1)=TRUE,1,0)</f>
        <v>0</v>
      </c>
      <c r="H59" s="185">
        <f>IF(AND('Material+Limits'!$Q$23=TRUE,Daten!K59=1)=TRUE,1,0)</f>
        <v>0</v>
      </c>
      <c r="I59" s="185">
        <f>IF(AND('Material+Limits'!$Q$22=TRUE,Daten!J59=1)=TRUE,1,0)</f>
        <v>0</v>
      </c>
      <c r="J59" s="155">
        <f>IF(Daten!$U59=13,1,0)</f>
        <v>0</v>
      </c>
      <c r="K59" s="156">
        <f>IF(Daten!$U59&lt;&gt;Daten!$V59,1,IF(Daten!$U59=14,1,0))</f>
        <v>0</v>
      </c>
      <c r="L59" s="156">
        <f>IF(Daten!$U59&lt;&gt;Daten!$V59,1,IF(Daten!$U59=16,1,0))</f>
        <v>1</v>
      </c>
      <c r="M59" s="156">
        <f>IF(Daten!$V59=17,1,0)</f>
        <v>0</v>
      </c>
      <c r="N59" s="157">
        <f ca="1">IF(Daten!$W59=Sprache!$A$60,1,0)</f>
        <v>0</v>
      </c>
      <c r="O59" s="169">
        <f>IF(AND(Daten!$AK59&lt;=KINVARO!$AW$3,Daten!$AL59&gt;=KINVARO!$AW$3)=TRUE,1,0)</f>
        <v>1</v>
      </c>
      <c r="P59" s="170">
        <f>IF(AND(Daten!$Z59&lt;=KINVARO!$AW$4,Daten!$AA59&gt;=KINVARO!$AW$4)=TRUE,1,0)</f>
        <v>0</v>
      </c>
      <c r="Q59" s="170"/>
      <c r="R59" s="170">
        <f>IF(AND(Daten!$AC59&lt;='Material+Limits'!$I$58,Daten!$AD59&gt;='Material+Limits'!$I$58)=TRUE,1,0)</f>
        <v>1</v>
      </c>
      <c r="S59" s="29">
        <f ca="1">IF(Daten!$X59=Sprache!$A$125,1,0)</f>
        <v>1</v>
      </c>
      <c r="T59" s="28" t="str">
        <f ca="1">Sprache!$A$52</f>
        <v>Podnośnik T-105</v>
      </c>
      <c r="U59" s="32">
        <v>16</v>
      </c>
      <c r="V59" s="29">
        <v>16</v>
      </c>
      <c r="W59" s="30">
        <f ca="1">Sprache!$A$131</f>
        <v>0</v>
      </c>
      <c r="X59" s="30">
        <f ca="1">Sprache!$A$126</f>
        <v>0</v>
      </c>
      <c r="Y59" s="30" t="str">
        <f ca="1">Sprache!$A$69</f>
        <v>Front</v>
      </c>
      <c r="Z59" s="30">
        <v>300</v>
      </c>
      <c r="AA59" s="28">
        <v>349</v>
      </c>
      <c r="AB59" s="30"/>
      <c r="AC59" s="31">
        <v>3.2</v>
      </c>
      <c r="AD59" s="53">
        <v>8.6</v>
      </c>
      <c r="AE59" s="30" t="s">
        <v>793</v>
      </c>
      <c r="AF59" s="30" t="str">
        <f ca="1">Sprache!$A$102</f>
        <v>Lewy</v>
      </c>
      <c r="AG59" s="30" t="str">
        <f ca="1">Sprache!$A$124</f>
        <v>2 podnośniki T-105</v>
      </c>
      <c r="AH59" s="30" t="str">
        <f ca="1">Sprache!$A$115</f>
        <v>Sprężyna standard</v>
      </c>
      <c r="AI59" s="30" t="str">
        <f ca="1">Sprache!$A$138</f>
        <v>podnośnik T-105 prawy</v>
      </c>
      <c r="AJ59" s="30" t="s">
        <v>824</v>
      </c>
      <c r="AK59" s="30">
        <f>'Material+Limits'!$K$9</f>
        <v>200</v>
      </c>
      <c r="AL59" s="28">
        <v>1200</v>
      </c>
      <c r="AM59" s="30" t="str">
        <f ca="1">CONCATENATE("TIOMOS 110° ",Sprache!$A$201)</f>
        <v>TIOMOS 110° zawias do ramy aluminiowej</v>
      </c>
      <c r="AN59" s="30" t="str">
        <f ca="1">CONCATENATE("1D° ",Sprache!$A$200)</f>
        <v>1D° prowadnik</v>
      </c>
    </row>
    <row r="60" spans="1:48" x14ac:dyDescent="0.25">
      <c r="A60" t="str">
        <f t="shared" ca="1" si="1"/>
        <v/>
      </c>
      <c r="B60" t="str">
        <f t="shared" ca="1" si="0"/>
        <v/>
      </c>
      <c r="C60" s="79">
        <f>IF('Material+Limits'!$P$12=TRUE,1,0)</f>
        <v>0</v>
      </c>
      <c r="D60" s="39">
        <f>IF(Daten!$O60+Daten!$P60+Daten!$R60=3,1,0)</f>
        <v>0</v>
      </c>
      <c r="E60" s="184">
        <f ca="1">IF(AND('Material+Limits'!$Q$21=TRUE,Daten!N60=1)=TRUE,1,0)</f>
        <v>1</v>
      </c>
      <c r="F60" s="185">
        <f ca="1">IF(AND('Material+Limits'!$Q$25=TRUE,Daten!M60=1)=TRUE,1,0)</f>
        <v>0</v>
      </c>
      <c r="G60" s="185">
        <f ca="1">IF(AND('Material+Limits'!$Q$24=TRUE,Daten!L60=1)=TRUE,1,0)</f>
        <v>0</v>
      </c>
      <c r="H60" s="185">
        <f ca="1">IF(AND('Material+Limits'!$Q$23=TRUE,Daten!K60=1)=TRUE,1,0)</f>
        <v>0</v>
      </c>
      <c r="I60" s="185">
        <f ca="1">IF(AND('Material+Limits'!$Q$22=TRUE,Daten!J60=1)=TRUE,1,0)</f>
        <v>0</v>
      </c>
      <c r="J60" s="158">
        <f ca="1">IF(Daten!$U60=13,1,0)</f>
        <v>0</v>
      </c>
      <c r="K60" s="159">
        <f ca="1">IF(Daten!$U60&lt;&gt;Daten!$V60,1,IF(Daten!$U60=14,1,0))</f>
        <v>0</v>
      </c>
      <c r="L60" s="159">
        <f ca="1">IF(Daten!$U60&lt;&gt;Daten!$V60,1,IF(Daten!$U60=16,1,0))</f>
        <v>0</v>
      </c>
      <c r="M60" s="159">
        <f ca="1">IF(Daten!$V60=17,1,0)</f>
        <v>0</v>
      </c>
      <c r="N60" s="160">
        <f ca="1">IF(Daten!$W60=Sprache!$A$60,1,0)</f>
        <v>1</v>
      </c>
      <c r="O60" s="173">
        <f>IF(AND(Daten!$AK60&lt;=KINVARO!$AW$3,Daten!$AL60&gt;=KINVARO!$AW$3)=TRUE,1,0)</f>
        <v>1</v>
      </c>
      <c r="P60" s="174">
        <f>IF(AND(Daten!$Z60&lt;=KINVARO!$AW$4,Daten!$AA60&gt;=KINVARO!$AW$4)=TRUE,1,0)</f>
        <v>0</v>
      </c>
      <c r="Q60" s="174"/>
      <c r="R60" s="174">
        <f>IF(AND(Daten!$AC60&lt;='Material+Limits'!$I$58,Daten!$AD60&gt;='Material+Limits'!$I$58)=TRUE,1,0)</f>
        <v>0</v>
      </c>
      <c r="S60" s="38">
        <f ca="1">IF(Daten!$X60=Sprache!$A$125,1,0)</f>
        <v>1</v>
      </c>
      <c r="T60" s="57" t="str">
        <f ca="1">Sprache!$A$52</f>
        <v>Podnośnik T-105</v>
      </c>
      <c r="U60" s="55">
        <f ca="1">Sprache!$A$64</f>
        <v>0</v>
      </c>
      <c r="V60" s="38">
        <f ca="1">Sprache!$A$64</f>
        <v>0</v>
      </c>
      <c r="W60" s="56" t="str">
        <f ca="1">Sprache!$A$60</f>
        <v>Front lity (drewno/płyta)</v>
      </c>
      <c r="X60" s="25">
        <f ca="1">Sprache!$A$126</f>
        <v>0</v>
      </c>
      <c r="Y60" s="56" t="str">
        <f ca="1">Sprache!$A$69</f>
        <v>Front</v>
      </c>
      <c r="Z60" s="56">
        <v>350</v>
      </c>
      <c r="AA60" s="57">
        <v>399</v>
      </c>
      <c r="AB60" s="56"/>
      <c r="AC60" s="58">
        <v>1.3</v>
      </c>
      <c r="AD60" s="59">
        <v>4.0999999999999996</v>
      </c>
      <c r="AE60" s="56" t="s">
        <v>790</v>
      </c>
      <c r="AF60" s="56" t="str">
        <f ca="1">Sprache!$A$102</f>
        <v>Lewy</v>
      </c>
      <c r="AG60" s="56" t="str">
        <f ca="1">Sprache!$A$123</f>
        <v>1 podnośnik T-105</v>
      </c>
      <c r="AH60" s="56" t="str">
        <f ca="1">Sprache!$A$115</f>
        <v>Sprężyna standard</v>
      </c>
      <c r="AI60" s="56" t="str">
        <f ca="1">Sprache!$A$138</f>
        <v>podnośnik T-105 prawy</v>
      </c>
      <c r="AJ60" s="56" t="s">
        <v>821</v>
      </c>
      <c r="AK60" s="56">
        <f>'Material+Limits'!$K$9</f>
        <v>200</v>
      </c>
      <c r="AL60" s="57">
        <v>1200</v>
      </c>
      <c r="AM60" s="30" t="str">
        <f ca="1">CONCATENATE("TIOMOS 110° ",Sprache!$A$88)</f>
        <v>TIOMOS 110° zawias</v>
      </c>
      <c r="AN60" s="30" t="str">
        <f ca="1">CONCATENATE("1D° ",Sprache!$A$200)</f>
        <v>1D° prowadnik</v>
      </c>
      <c r="AO60"/>
      <c r="AR60"/>
      <c r="AS60"/>
      <c r="AT60"/>
      <c r="AU60"/>
      <c r="AV60"/>
    </row>
    <row r="61" spans="1:48" x14ac:dyDescent="0.25">
      <c r="A61" t="str">
        <f t="shared" ca="1" si="1"/>
        <v/>
      </c>
      <c r="B61" t="str">
        <f t="shared" ca="1" si="0"/>
        <v/>
      </c>
      <c r="C61" s="79">
        <f>IF('Material+Limits'!$P$12=TRUE,1,0)</f>
        <v>0</v>
      </c>
      <c r="D61" s="39">
        <f>IF(Daten!$O61+Daten!$P61+Daten!$R61=3,1,0)</f>
        <v>0</v>
      </c>
      <c r="E61" s="184">
        <f ca="1">IF(AND('Material+Limits'!$Q$21=TRUE,Daten!N61=1)=TRUE,1,0)</f>
        <v>1</v>
      </c>
      <c r="F61" s="185">
        <f ca="1">IF(AND('Material+Limits'!$Q$25=TRUE,Daten!M61=1)=TRUE,1,0)</f>
        <v>0</v>
      </c>
      <c r="G61" s="185">
        <f ca="1">IF(AND('Material+Limits'!$Q$24=TRUE,Daten!L61=1)=TRUE,1,0)</f>
        <v>0</v>
      </c>
      <c r="H61" s="185">
        <f ca="1">IF(AND('Material+Limits'!$Q$23=TRUE,Daten!K61=1)=TRUE,1,0)</f>
        <v>0</v>
      </c>
      <c r="I61" s="185">
        <f ca="1">IF(AND('Material+Limits'!$Q$22=TRUE,Daten!J61=1)=TRUE,1,0)</f>
        <v>0</v>
      </c>
      <c r="J61" s="155">
        <f ca="1">IF(Daten!$U61=13,1,0)</f>
        <v>0</v>
      </c>
      <c r="K61" s="156">
        <f ca="1">IF(Daten!$U61&lt;&gt;Daten!$V61,1,IF(Daten!$U61=14,1,0))</f>
        <v>0</v>
      </c>
      <c r="L61" s="156">
        <f ca="1">IF(Daten!$U61&lt;&gt;Daten!$V61,1,IF(Daten!$U61=16,1,0))</f>
        <v>0</v>
      </c>
      <c r="M61" s="156">
        <f ca="1">IF(Daten!$V61=17,1,0)</f>
        <v>0</v>
      </c>
      <c r="N61" s="157">
        <f ca="1">IF(Daten!$W61=Sprache!$A$60,1,0)</f>
        <v>1</v>
      </c>
      <c r="O61" s="169">
        <f>IF(AND(Daten!$AK61&lt;=KINVARO!$AW$3,Daten!$AL61&gt;=KINVARO!$AW$3)=TRUE,1,0)</f>
        <v>1</v>
      </c>
      <c r="P61" s="170">
        <f>IF(AND(Daten!$Z61&lt;=KINVARO!$AW$4,Daten!$AA61&gt;=KINVARO!$AW$4)=TRUE,1,0)</f>
        <v>0</v>
      </c>
      <c r="R61" s="170">
        <f>IF(AND(Daten!$AC61&lt;='Material+Limits'!$I$58,Daten!$AD61&gt;='Material+Limits'!$I$58)=TRUE,1,0)</f>
        <v>0</v>
      </c>
      <c r="S61" s="29">
        <f ca="1">IF(Daten!$X61=Sprache!$A$125,1,0)</f>
        <v>1</v>
      </c>
      <c r="T61" s="28" t="str">
        <f ca="1">Sprache!$A$52</f>
        <v>Podnośnik T-105</v>
      </c>
      <c r="U61" s="32">
        <f ca="1">Sprache!$A$64</f>
        <v>0</v>
      </c>
      <c r="V61" s="29">
        <f ca="1">Sprache!$A$64</f>
        <v>0</v>
      </c>
      <c r="W61" s="30" t="str">
        <f ca="1">Sprache!$A$60</f>
        <v>Front lity (drewno/płyta)</v>
      </c>
      <c r="X61" s="30">
        <f ca="1">Sprache!$A$126</f>
        <v>0</v>
      </c>
      <c r="Y61" s="30" t="str">
        <f ca="1">Sprache!$A$69</f>
        <v>Front</v>
      </c>
      <c r="Z61" s="30">
        <v>350</v>
      </c>
      <c r="AA61" s="28">
        <v>399</v>
      </c>
      <c r="AB61" s="30"/>
      <c r="AC61" s="31">
        <v>2.4</v>
      </c>
      <c r="AD61" s="53">
        <v>4.8</v>
      </c>
      <c r="AE61" s="30" t="s">
        <v>791</v>
      </c>
      <c r="AF61" s="30" t="str">
        <f ca="1">Sprache!$A$102</f>
        <v>Lewy</v>
      </c>
      <c r="AG61" s="30" t="str">
        <f ca="1">Sprache!$A$123</f>
        <v>1 podnośnik T-105</v>
      </c>
      <c r="AH61" s="30" t="str">
        <f ca="1">Sprache!$A$116</f>
        <v>Sprężyna czarna</v>
      </c>
      <c r="AI61" s="30" t="str">
        <f ca="1">Sprache!$A$138</f>
        <v>podnośnik T-105 prawy</v>
      </c>
      <c r="AJ61" s="30" t="s">
        <v>822</v>
      </c>
      <c r="AK61" s="30">
        <f>'Material+Limits'!$K$9</f>
        <v>200</v>
      </c>
      <c r="AL61" s="28">
        <v>1200</v>
      </c>
      <c r="AM61" s="30" t="str">
        <f ca="1">CONCATENATE("TIOMOS 110° ",Sprache!$A$88)</f>
        <v>TIOMOS 110° zawias</v>
      </c>
      <c r="AN61" s="30" t="str">
        <f ca="1">CONCATENATE("1D° ",Sprache!$A$200)</f>
        <v>1D° prowadnik</v>
      </c>
      <c r="AO61"/>
      <c r="AR61"/>
      <c r="AS61"/>
      <c r="AT61"/>
      <c r="AU61"/>
      <c r="AV61"/>
    </row>
    <row r="62" spans="1:48" x14ac:dyDescent="0.25">
      <c r="A62" t="str">
        <f t="shared" ca="1" si="1"/>
        <v/>
      </c>
      <c r="B62" t="str">
        <f t="shared" ca="1" si="0"/>
        <v/>
      </c>
      <c r="C62" s="79">
        <f>IF('Material+Limits'!$P$12=TRUE,1,0)</f>
        <v>0</v>
      </c>
      <c r="D62" s="39">
        <f>IF(Daten!$O62+Daten!$P62+Daten!$R62=3,1,0)</f>
        <v>0</v>
      </c>
      <c r="E62" s="184">
        <f ca="1">IF(AND('Material+Limits'!$Q$21=TRUE,Daten!N62=1)=TRUE,1,0)</f>
        <v>0</v>
      </c>
      <c r="F62" s="185">
        <f>IF(AND('Material+Limits'!$Q$25=TRUE,Daten!M62=1)=TRUE,1,0)</f>
        <v>0</v>
      </c>
      <c r="G62" s="185">
        <f>IF(AND('Material+Limits'!$Q$24=TRUE,Daten!L62=1)=TRUE,1,0)</f>
        <v>0</v>
      </c>
      <c r="H62" s="185">
        <f>IF(AND('Material+Limits'!$Q$23=TRUE,Daten!K62=1)=TRUE,1,0)</f>
        <v>0</v>
      </c>
      <c r="I62" s="185">
        <f>IF(AND('Material+Limits'!$Q$22=TRUE,Daten!J62=1)=TRUE,1,0)</f>
        <v>0</v>
      </c>
      <c r="J62" s="158">
        <f>IF(Daten!$U62=13,1,0)</f>
        <v>0</v>
      </c>
      <c r="K62" s="159">
        <f>IF(Daten!$U62&lt;&gt;Daten!$V62,1,IF(Daten!$U62=14,1,0))</f>
        <v>1</v>
      </c>
      <c r="L62" s="159">
        <f>IF(Daten!$U62&lt;&gt;Daten!$V62,1,IF(Daten!$U62=16,1,0))</f>
        <v>0</v>
      </c>
      <c r="M62" s="159">
        <f>IF(Daten!$V62=17,1,0)</f>
        <v>0</v>
      </c>
      <c r="N62" s="160">
        <f ca="1">IF(Daten!$W62=Sprache!$A$60,1,0)</f>
        <v>0</v>
      </c>
      <c r="O62" s="171">
        <f>IF(AND(Daten!$AK62&lt;=KINVARO!$AW$3,Daten!$AL62&gt;=KINVARO!$AW$3)=TRUE,1,0)</f>
        <v>1</v>
      </c>
      <c r="P62" s="172">
        <f>IF(AND(Daten!$Z62&lt;=KINVARO!$AW$4,Daten!$AA62&gt;=KINVARO!$AW$4)=TRUE,1,0)</f>
        <v>0</v>
      </c>
      <c r="Q62" s="172"/>
      <c r="R62" s="172">
        <f>IF(AND(Daten!$AC62&lt;='Material+Limits'!$I$58,Daten!$AD62&gt;='Material+Limits'!$I$58)=TRUE,1,0)</f>
        <v>0</v>
      </c>
      <c r="S62" s="23">
        <f ca="1">IF(Daten!$X62=Sprache!$A$125,1,0)</f>
        <v>1</v>
      </c>
      <c r="T62" s="24" t="str">
        <f ca="1">Sprache!$A$52</f>
        <v>Podnośnik T-105</v>
      </c>
      <c r="U62" s="27">
        <v>14</v>
      </c>
      <c r="V62" s="23">
        <v>14</v>
      </c>
      <c r="W62" s="25">
        <f ca="1">Sprache!$A$131</f>
        <v>0</v>
      </c>
      <c r="X62" s="25">
        <f ca="1">Sprache!$A$126</f>
        <v>0</v>
      </c>
      <c r="Y62" s="25" t="str">
        <f ca="1">Sprache!$A$69</f>
        <v>Front</v>
      </c>
      <c r="Z62" s="25">
        <v>350</v>
      </c>
      <c r="AA62" s="24">
        <v>399</v>
      </c>
      <c r="AB62" s="25"/>
      <c r="AC62" s="26">
        <v>1.3</v>
      </c>
      <c r="AD62" s="54">
        <v>4.0999999999999996</v>
      </c>
      <c r="AE62" s="25" t="s">
        <v>792</v>
      </c>
      <c r="AF62" s="25" t="str">
        <f ca="1">Sprache!$A$102</f>
        <v>Lewy</v>
      </c>
      <c r="AG62" s="25" t="str">
        <f ca="1">Sprache!$A$123</f>
        <v>1 podnośnik T-105</v>
      </c>
      <c r="AH62" s="25" t="str">
        <f ca="1">Sprache!$A$115</f>
        <v>Sprężyna standard</v>
      </c>
      <c r="AI62" s="25" t="str">
        <f ca="1">Sprache!$A$138</f>
        <v>podnośnik T-105 prawy</v>
      </c>
      <c r="AJ62" s="25" t="s">
        <v>823</v>
      </c>
      <c r="AK62" s="25">
        <f>'Material+Limits'!$K$9</f>
        <v>200</v>
      </c>
      <c r="AL62" s="24">
        <v>1200</v>
      </c>
      <c r="AM62" s="30" t="str">
        <f ca="1">CONCATENATE("TIOMOS 110° ",Sprache!$A$201)</f>
        <v>TIOMOS 110° zawias do ramy aluminiowej</v>
      </c>
      <c r="AN62" s="30" t="str">
        <f ca="1">CONCATENATE("1D° ",Sprache!$A$200)</f>
        <v>1D° prowadnik</v>
      </c>
      <c r="AO62"/>
      <c r="AR62"/>
      <c r="AS62"/>
      <c r="AT62"/>
      <c r="AU62"/>
      <c r="AV62"/>
    </row>
    <row r="63" spans="1:48" x14ac:dyDescent="0.25">
      <c r="A63" t="str">
        <f t="shared" ca="1" si="1"/>
        <v/>
      </c>
      <c r="B63" t="str">
        <f t="shared" ca="1" si="0"/>
        <v/>
      </c>
      <c r="C63" s="79">
        <f>IF('Material+Limits'!$P$12=TRUE,1,0)</f>
        <v>0</v>
      </c>
      <c r="D63" s="39">
        <f>IF(Daten!$O63+Daten!$P63+Daten!$R63=3,1,0)</f>
        <v>0</v>
      </c>
      <c r="E63" s="184">
        <f ca="1">IF(AND('Material+Limits'!$Q$21=TRUE,Daten!N63=1)=TRUE,1,0)</f>
        <v>0</v>
      </c>
      <c r="F63" s="185">
        <f>IF(AND('Material+Limits'!$Q$25=TRUE,Daten!M63=1)=TRUE,1,0)</f>
        <v>0</v>
      </c>
      <c r="G63" s="185">
        <f>IF(AND('Material+Limits'!$Q$24=TRUE,Daten!L63=1)=TRUE,1,0)</f>
        <v>0</v>
      </c>
      <c r="H63" s="185">
        <f>IF(AND('Material+Limits'!$Q$23=TRUE,Daten!K63=1)=TRUE,1,0)</f>
        <v>0</v>
      </c>
      <c r="I63" s="185">
        <f>IF(AND('Material+Limits'!$Q$22=TRUE,Daten!J63=1)=TRUE,1,0)</f>
        <v>0</v>
      </c>
      <c r="J63" s="155">
        <f>IF(Daten!$U63=13,1,0)</f>
        <v>0</v>
      </c>
      <c r="K63" s="156">
        <f>IF(Daten!$U63&lt;&gt;Daten!$V63,1,IF(Daten!$U63=14,1,0))</f>
        <v>0</v>
      </c>
      <c r="L63" s="156">
        <f>IF(Daten!$U63&lt;&gt;Daten!$V63,1,IF(Daten!$U63=16,1,0))</f>
        <v>1</v>
      </c>
      <c r="M63" s="156">
        <f>IF(Daten!$V63=17,1,0)</f>
        <v>0</v>
      </c>
      <c r="N63" s="157">
        <f ca="1">IF(Daten!$W63=Sprache!$A$60,1,0)</f>
        <v>0</v>
      </c>
      <c r="O63" s="169">
        <f>IF(AND(Daten!$AK63&lt;=KINVARO!$AW$3,Daten!$AL63&gt;=KINVARO!$AW$3)=TRUE,1,0)</f>
        <v>1</v>
      </c>
      <c r="P63" s="170">
        <f>IF(AND(Daten!$Z63&lt;=KINVARO!$AW$4,Daten!$AA63&gt;=KINVARO!$AW$4)=TRUE,1,0)</f>
        <v>0</v>
      </c>
      <c r="R63" s="170">
        <f>IF(AND(Daten!$AC63&lt;='Material+Limits'!$I$58,Daten!$AD63&gt;='Material+Limits'!$I$58)=TRUE,1,0)</f>
        <v>0</v>
      </c>
      <c r="S63" s="29">
        <f ca="1">IF(Daten!$X63=Sprache!$A$125,1,0)</f>
        <v>1</v>
      </c>
      <c r="T63" s="28" t="str">
        <f ca="1">Sprache!$A$52</f>
        <v>Podnośnik T-105</v>
      </c>
      <c r="U63" s="32">
        <v>16</v>
      </c>
      <c r="V63" s="29">
        <v>16</v>
      </c>
      <c r="W63" s="30">
        <f ca="1">Sprache!$A$131</f>
        <v>0</v>
      </c>
      <c r="X63" s="30">
        <f ca="1">Sprache!$A$126</f>
        <v>0</v>
      </c>
      <c r="Y63" s="30" t="str">
        <f ca="1">Sprache!$A$69</f>
        <v>Front</v>
      </c>
      <c r="Z63" s="30">
        <v>350</v>
      </c>
      <c r="AA63" s="28">
        <v>399</v>
      </c>
      <c r="AB63" s="30"/>
      <c r="AC63" s="31">
        <v>1.3</v>
      </c>
      <c r="AD63" s="53">
        <v>4.0999999999999996</v>
      </c>
      <c r="AE63" s="30" t="s">
        <v>793</v>
      </c>
      <c r="AF63" s="30" t="str">
        <f ca="1">Sprache!$A$102</f>
        <v>Lewy</v>
      </c>
      <c r="AG63" s="30" t="str">
        <f ca="1">Sprache!$A$123</f>
        <v>1 podnośnik T-105</v>
      </c>
      <c r="AH63" s="30" t="str">
        <f ca="1">Sprache!$A$115</f>
        <v>Sprężyna standard</v>
      </c>
      <c r="AI63" s="30" t="str">
        <f ca="1">Sprache!$A$138</f>
        <v>podnośnik T-105 prawy</v>
      </c>
      <c r="AJ63" s="30" t="s">
        <v>824</v>
      </c>
      <c r="AK63" s="30">
        <f>'Material+Limits'!$K$9</f>
        <v>200</v>
      </c>
      <c r="AL63" s="28">
        <v>1200</v>
      </c>
      <c r="AM63" s="30" t="str">
        <f ca="1">CONCATENATE("TIOMOS 110° ",Sprache!$A$201)</f>
        <v>TIOMOS 110° zawias do ramy aluminiowej</v>
      </c>
      <c r="AN63" s="30" t="str">
        <f ca="1">CONCATENATE("1D° ",Sprache!$A$200)</f>
        <v>1D° prowadnik</v>
      </c>
      <c r="AO63"/>
      <c r="AR63"/>
      <c r="AS63"/>
      <c r="AT63"/>
      <c r="AU63"/>
      <c r="AV63"/>
    </row>
    <row r="64" spans="1:48" x14ac:dyDescent="0.25">
      <c r="A64" t="str">
        <f t="shared" ca="1" si="1"/>
        <v/>
      </c>
      <c r="B64" t="str">
        <f t="shared" ca="1" si="0"/>
        <v/>
      </c>
      <c r="C64" s="79">
        <f>IF('Material+Limits'!$P$12=TRUE,1,0)</f>
        <v>0</v>
      </c>
      <c r="D64" s="39">
        <f>IF(Daten!$O64+Daten!$P64+Daten!$R64=3,1,0)</f>
        <v>0</v>
      </c>
      <c r="E64" s="184">
        <f ca="1">IF(AND('Material+Limits'!$Q$21=TRUE,Daten!N64=1)=TRUE,1,0)</f>
        <v>1</v>
      </c>
      <c r="F64" s="185">
        <f ca="1">IF(AND('Material+Limits'!$Q$25=TRUE,Daten!M64=1)=TRUE,1,0)</f>
        <v>0</v>
      </c>
      <c r="G64" s="185">
        <f ca="1">IF(AND('Material+Limits'!$Q$24=TRUE,Daten!L64=1)=TRUE,1,0)</f>
        <v>0</v>
      </c>
      <c r="H64" s="185">
        <f ca="1">IF(AND('Material+Limits'!$Q$23=TRUE,Daten!K64=1)=TRUE,1,0)</f>
        <v>0</v>
      </c>
      <c r="I64" s="185">
        <f ca="1">IF(AND('Material+Limits'!$Q$22=TRUE,Daten!J64=1)=TRUE,1,0)</f>
        <v>0</v>
      </c>
      <c r="J64" s="158">
        <f ca="1">IF(Daten!$U64=13,1,0)</f>
        <v>0</v>
      </c>
      <c r="K64" s="159">
        <f ca="1">IF(Daten!$U64&lt;&gt;Daten!$V64,1,IF(Daten!$U64=14,1,0))</f>
        <v>0</v>
      </c>
      <c r="L64" s="159">
        <f ca="1">IF(Daten!$U64&lt;&gt;Daten!$V64,1,IF(Daten!$U64=16,1,0))</f>
        <v>0</v>
      </c>
      <c r="M64" s="159">
        <f ca="1">IF(Daten!$V64=17,1,0)</f>
        <v>0</v>
      </c>
      <c r="N64" s="160">
        <f ca="1">IF(Daten!$W64=Sprache!$A$60,1,0)</f>
        <v>1</v>
      </c>
      <c r="O64" s="171">
        <f>IF(AND(Daten!$AK64&lt;=KINVARO!$AW$3,Daten!$AL64&gt;=KINVARO!$AW$3)=TRUE,1,0)</f>
        <v>1</v>
      </c>
      <c r="P64" s="172">
        <f>IF(AND(Daten!$Z64&lt;=KINVARO!$AW$4,Daten!$AA64&gt;=KINVARO!$AW$4)=TRUE,1,0)</f>
        <v>0</v>
      </c>
      <c r="Q64" s="172"/>
      <c r="R64" s="172">
        <f>IF(AND(Daten!$AC64&lt;='Material+Limits'!$I$58,Daten!$AD64&gt;='Material+Limits'!$I$58)=TRUE,1,0)</f>
        <v>1</v>
      </c>
      <c r="S64" s="23">
        <f ca="1">IF(Daten!$X64=Sprache!$A$125,1,0)</f>
        <v>1</v>
      </c>
      <c r="T64" s="24" t="str">
        <f ca="1">Sprache!$A$52</f>
        <v>Podnośnik T-105</v>
      </c>
      <c r="U64" s="27">
        <f ca="1">Sprache!$A$64</f>
        <v>0</v>
      </c>
      <c r="V64" s="23">
        <f ca="1">Sprache!$A$64</f>
        <v>0</v>
      </c>
      <c r="W64" s="25" t="str">
        <f ca="1">Sprache!$A$60</f>
        <v>Front lity (drewno/płyta)</v>
      </c>
      <c r="X64" s="25">
        <f ca="1">Sprache!$A$126</f>
        <v>0</v>
      </c>
      <c r="Y64" s="25" t="str">
        <f ca="1">Sprache!$A$69</f>
        <v>Front</v>
      </c>
      <c r="Z64" s="25">
        <v>350</v>
      </c>
      <c r="AA64" s="24">
        <v>399</v>
      </c>
      <c r="AB64" s="25"/>
      <c r="AC64" s="26">
        <v>2.6</v>
      </c>
      <c r="AD64" s="54">
        <v>8.1</v>
      </c>
      <c r="AE64" s="25" t="s">
        <v>790</v>
      </c>
      <c r="AF64" s="25" t="str">
        <f ca="1">Sprache!$A$102</f>
        <v>Lewy</v>
      </c>
      <c r="AG64" s="25" t="str">
        <f ca="1">Sprache!$A$124</f>
        <v>2 podnośniki T-105</v>
      </c>
      <c r="AH64" s="25" t="str">
        <f ca="1">Sprache!$A$115</f>
        <v>Sprężyna standard</v>
      </c>
      <c r="AI64" s="25" t="str">
        <f ca="1">Sprache!$A$138</f>
        <v>podnośnik T-105 prawy</v>
      </c>
      <c r="AJ64" s="25" t="s">
        <v>821</v>
      </c>
      <c r="AK64" s="25">
        <f>'Material+Limits'!$K$9</f>
        <v>200</v>
      </c>
      <c r="AL64" s="24">
        <v>1200</v>
      </c>
      <c r="AM64" s="30" t="str">
        <f ca="1">CONCATENATE("TIOMOS 110° ",Sprache!$A$88)</f>
        <v>TIOMOS 110° zawias</v>
      </c>
      <c r="AN64" s="30" t="str">
        <f ca="1">CONCATENATE("1D° ",Sprache!$A$200)</f>
        <v>1D° prowadnik</v>
      </c>
      <c r="AO64"/>
      <c r="AR64"/>
      <c r="AS64"/>
      <c r="AT64"/>
      <c r="AU64"/>
      <c r="AV64"/>
    </row>
    <row r="65" spans="1:48" x14ac:dyDescent="0.25">
      <c r="A65" t="str">
        <f t="shared" ca="1" si="1"/>
        <v/>
      </c>
      <c r="B65" t="str">
        <f t="shared" ca="1" si="0"/>
        <v/>
      </c>
      <c r="C65" s="79">
        <f>IF('Material+Limits'!$P$12=TRUE,1,0)</f>
        <v>0</v>
      </c>
      <c r="D65" s="39">
        <f>IF(Daten!$O65+Daten!$P65+Daten!$R65=3,1,0)</f>
        <v>0</v>
      </c>
      <c r="E65" s="184">
        <f ca="1">IF(AND('Material+Limits'!$Q$21=TRUE,Daten!N65=1)=TRUE,1,0)</f>
        <v>1</v>
      </c>
      <c r="F65" s="185">
        <f ca="1">IF(AND('Material+Limits'!$Q$25=TRUE,Daten!M65=1)=TRUE,1,0)</f>
        <v>0</v>
      </c>
      <c r="G65" s="185">
        <f ca="1">IF(AND('Material+Limits'!$Q$24=TRUE,Daten!L65=1)=TRUE,1,0)</f>
        <v>0</v>
      </c>
      <c r="H65" s="185">
        <f ca="1">IF(AND('Material+Limits'!$Q$23=TRUE,Daten!K65=1)=TRUE,1,0)</f>
        <v>0</v>
      </c>
      <c r="I65" s="185">
        <f ca="1">IF(AND('Material+Limits'!$Q$22=TRUE,Daten!J65=1)=TRUE,1,0)</f>
        <v>0</v>
      </c>
      <c r="J65" s="155">
        <f ca="1">IF(Daten!$U65=13,1,0)</f>
        <v>0</v>
      </c>
      <c r="K65" s="156">
        <f ca="1">IF(Daten!$U65&lt;&gt;Daten!$V65,1,IF(Daten!$U65=14,1,0))</f>
        <v>0</v>
      </c>
      <c r="L65" s="156">
        <f ca="1">IF(Daten!$U65&lt;&gt;Daten!$V65,1,IF(Daten!$U65=16,1,0))</f>
        <v>0</v>
      </c>
      <c r="M65" s="156">
        <f ca="1">IF(Daten!$V65=17,1,0)</f>
        <v>0</v>
      </c>
      <c r="N65" s="157">
        <f ca="1">IF(Daten!$W65=Sprache!$A$60,1,0)</f>
        <v>1</v>
      </c>
      <c r="O65" s="169">
        <f>IF(AND(Daten!$AK65&lt;=KINVARO!$AW$3,Daten!$AL65&gt;=KINVARO!$AW$3)=TRUE,1,0)</f>
        <v>1</v>
      </c>
      <c r="P65" s="170">
        <f>IF(AND(Daten!$Z65&lt;=KINVARO!$AW$4,Daten!$AA65&gt;=KINVARO!$AW$4)=TRUE,1,0)</f>
        <v>0</v>
      </c>
      <c r="R65" s="170">
        <f>IF(AND(Daten!$AC65&lt;='Material+Limits'!$I$58,Daten!$AD65&gt;='Material+Limits'!$I$58)=TRUE,1,0)</f>
        <v>1</v>
      </c>
      <c r="S65" s="29">
        <f ca="1">IF(Daten!$X65=Sprache!$A$125,1,0)</f>
        <v>1</v>
      </c>
      <c r="T65" s="28" t="str">
        <f ca="1">Sprache!$A$52</f>
        <v>Podnośnik T-105</v>
      </c>
      <c r="U65" s="32">
        <f ca="1">Sprache!$A$64</f>
        <v>0</v>
      </c>
      <c r="V65" s="29">
        <f ca="1">Sprache!$A$64</f>
        <v>0</v>
      </c>
      <c r="W65" s="30" t="str">
        <f ca="1">Sprache!$A$60</f>
        <v>Front lity (drewno/płyta)</v>
      </c>
      <c r="X65" s="30">
        <f ca="1">Sprache!$A$126</f>
        <v>0</v>
      </c>
      <c r="Y65" s="30" t="str">
        <f ca="1">Sprache!$A$69</f>
        <v>Front</v>
      </c>
      <c r="Z65" s="30">
        <v>350</v>
      </c>
      <c r="AA65" s="28">
        <v>399</v>
      </c>
      <c r="AB65" s="30"/>
      <c r="AC65" s="31">
        <v>4.8</v>
      </c>
      <c r="AD65" s="53">
        <v>9.5</v>
      </c>
      <c r="AE65" s="30" t="s">
        <v>791</v>
      </c>
      <c r="AF65" s="30" t="str">
        <f ca="1">Sprache!$A$102</f>
        <v>Lewy</v>
      </c>
      <c r="AG65" s="30" t="str">
        <f ca="1">Sprache!$A$124</f>
        <v>2 podnośniki T-105</v>
      </c>
      <c r="AH65" s="30" t="str">
        <f ca="1">Sprache!$A$116</f>
        <v>Sprężyna czarna</v>
      </c>
      <c r="AI65" s="30" t="str">
        <f ca="1">Sprache!$A$138</f>
        <v>podnośnik T-105 prawy</v>
      </c>
      <c r="AJ65" s="30" t="s">
        <v>822</v>
      </c>
      <c r="AK65" s="30">
        <f>'Material+Limits'!$K$9</f>
        <v>200</v>
      </c>
      <c r="AL65" s="28">
        <v>1200</v>
      </c>
      <c r="AM65" s="30" t="str">
        <f ca="1">CONCATENATE("TIOMOS 110° ",Sprache!$A$88)</f>
        <v>TIOMOS 110° zawias</v>
      </c>
      <c r="AN65" s="30" t="str">
        <f ca="1">CONCATENATE("1D° ",Sprache!$A$200)</f>
        <v>1D° prowadnik</v>
      </c>
      <c r="AO65"/>
      <c r="AR65"/>
      <c r="AS65"/>
      <c r="AT65"/>
      <c r="AU65"/>
      <c r="AV65"/>
    </row>
    <row r="66" spans="1:48" x14ac:dyDescent="0.25">
      <c r="A66" t="str">
        <f t="shared" ca="1" si="1"/>
        <v/>
      </c>
      <c r="B66" t="str">
        <f t="shared" ref="B66:B129" ca="1" si="2">IF(F66+G66+H66+I66+D66+E66=2,1,"")</f>
        <v/>
      </c>
      <c r="C66" s="79">
        <f>IF('Material+Limits'!$P$12=TRUE,1,0)</f>
        <v>0</v>
      </c>
      <c r="D66" s="39">
        <f>IF(Daten!$O66+Daten!$P66+Daten!$R66=3,1,0)</f>
        <v>0</v>
      </c>
      <c r="E66" s="184">
        <f ca="1">IF(AND('Material+Limits'!$Q$21=TRUE,Daten!N66=1)=TRUE,1,0)</f>
        <v>0</v>
      </c>
      <c r="F66" s="185">
        <f>IF(AND('Material+Limits'!$Q$25=TRUE,Daten!M66=1)=TRUE,1,0)</f>
        <v>0</v>
      </c>
      <c r="G66" s="185">
        <f>IF(AND('Material+Limits'!$Q$24=TRUE,Daten!L66=1)=TRUE,1,0)</f>
        <v>0</v>
      </c>
      <c r="H66" s="185">
        <f>IF(AND('Material+Limits'!$Q$23=TRUE,Daten!K66=1)=TRUE,1,0)</f>
        <v>0</v>
      </c>
      <c r="I66" s="185">
        <f>IF(AND('Material+Limits'!$Q$22=TRUE,Daten!J66=1)=TRUE,1,0)</f>
        <v>0</v>
      </c>
      <c r="J66" s="158">
        <f>IF(Daten!$U66=13,1,0)</f>
        <v>0</v>
      </c>
      <c r="K66" s="159">
        <f>IF(Daten!$U66&lt;&gt;Daten!$V66,1,IF(Daten!$U66=14,1,0))</f>
        <v>1</v>
      </c>
      <c r="L66" s="159">
        <f>IF(Daten!$U66&lt;&gt;Daten!$V66,1,IF(Daten!$U66=16,1,0))</f>
        <v>0</v>
      </c>
      <c r="M66" s="159">
        <f>IF(Daten!$V66=17,1,0)</f>
        <v>0</v>
      </c>
      <c r="N66" s="160">
        <f ca="1">IF(Daten!$W66=Sprache!$A$60,1,0)</f>
        <v>0</v>
      </c>
      <c r="O66" s="171">
        <f>IF(AND(Daten!$AK66&lt;=KINVARO!$AW$3,Daten!$AL66&gt;=KINVARO!$AW$3)=TRUE,1,0)</f>
        <v>1</v>
      </c>
      <c r="P66" s="172">
        <f>IF(AND(Daten!$Z66&lt;=KINVARO!$AW$4,Daten!$AA66&gt;=KINVARO!$AW$4)=TRUE,1,0)</f>
        <v>0</v>
      </c>
      <c r="Q66" s="172"/>
      <c r="R66" s="172">
        <f>IF(AND(Daten!$AC66&lt;='Material+Limits'!$I$58,Daten!$AD66&gt;='Material+Limits'!$I$58)=TRUE,1,0)</f>
        <v>1</v>
      </c>
      <c r="S66" s="23">
        <f ca="1">IF(Daten!$X66=Sprache!$A$125,1,0)</f>
        <v>1</v>
      </c>
      <c r="T66" s="24" t="str">
        <f ca="1">Sprache!$A$52</f>
        <v>Podnośnik T-105</v>
      </c>
      <c r="U66" s="27">
        <v>14</v>
      </c>
      <c r="V66" s="23">
        <v>14</v>
      </c>
      <c r="W66" s="25">
        <f ca="1">Sprache!$A$131</f>
        <v>0</v>
      </c>
      <c r="X66" s="25">
        <f ca="1">Sprache!$A$126</f>
        <v>0</v>
      </c>
      <c r="Y66" s="25" t="str">
        <f ca="1">Sprache!$A$69</f>
        <v>Front</v>
      </c>
      <c r="Z66" s="25">
        <v>350</v>
      </c>
      <c r="AA66" s="24">
        <v>399</v>
      </c>
      <c r="AB66" s="25"/>
      <c r="AC66" s="26">
        <v>2.6</v>
      </c>
      <c r="AD66" s="54">
        <v>8.1</v>
      </c>
      <c r="AE66" s="25" t="s">
        <v>792</v>
      </c>
      <c r="AF66" s="25" t="str">
        <f ca="1">Sprache!$A$102</f>
        <v>Lewy</v>
      </c>
      <c r="AG66" s="25" t="str">
        <f ca="1">Sprache!$A$124</f>
        <v>2 podnośniki T-105</v>
      </c>
      <c r="AH66" s="25" t="str">
        <f ca="1">Sprache!$A$115</f>
        <v>Sprężyna standard</v>
      </c>
      <c r="AI66" s="25" t="str">
        <f ca="1">Sprache!$A$138</f>
        <v>podnośnik T-105 prawy</v>
      </c>
      <c r="AJ66" s="25" t="s">
        <v>823</v>
      </c>
      <c r="AK66" s="25">
        <f>'Material+Limits'!$K$9</f>
        <v>200</v>
      </c>
      <c r="AL66" s="24">
        <v>1200</v>
      </c>
      <c r="AM66" s="30" t="str">
        <f ca="1">CONCATENATE("TIOMOS 110° ",Sprache!$A$201)</f>
        <v>TIOMOS 110° zawias do ramy aluminiowej</v>
      </c>
      <c r="AN66" s="30" t="str">
        <f ca="1">CONCATENATE("1D° ",Sprache!$A$200)</f>
        <v>1D° prowadnik</v>
      </c>
      <c r="AO66"/>
      <c r="AR66"/>
      <c r="AS66"/>
      <c r="AT66"/>
      <c r="AU66"/>
      <c r="AV66"/>
    </row>
    <row r="67" spans="1:48" s="5" customFormat="1" x14ac:dyDescent="0.25">
      <c r="A67" t="str">
        <f t="shared" ref="A67:A130" ca="1" si="3">IF(E67+F67+G67+H67+I67+C67+D67=3,1,"")</f>
        <v/>
      </c>
      <c r="B67" t="str">
        <f t="shared" ca="1" si="2"/>
        <v/>
      </c>
      <c r="C67" s="79">
        <f>IF('Material+Limits'!$P$12=TRUE,1,0)</f>
        <v>0</v>
      </c>
      <c r="D67" s="39">
        <f>IF(Daten!$O67+Daten!$P67+Daten!$R67=3,1,0)</f>
        <v>0</v>
      </c>
      <c r="E67" s="184">
        <f ca="1">IF(AND('Material+Limits'!$Q$21=TRUE,Daten!N67=1)=TRUE,1,0)</f>
        <v>0</v>
      </c>
      <c r="F67" s="185">
        <f>IF(AND('Material+Limits'!$Q$25=TRUE,Daten!M67=1)=TRUE,1,0)</f>
        <v>0</v>
      </c>
      <c r="G67" s="185">
        <f>IF(AND('Material+Limits'!$Q$24=TRUE,Daten!L67=1)=TRUE,1,0)</f>
        <v>0</v>
      </c>
      <c r="H67" s="185">
        <f>IF(AND('Material+Limits'!$Q$23=TRUE,Daten!K67=1)=TRUE,1,0)</f>
        <v>0</v>
      </c>
      <c r="I67" s="185">
        <f>IF(AND('Material+Limits'!$Q$22=TRUE,Daten!J67=1)=TRUE,1,0)</f>
        <v>0</v>
      </c>
      <c r="J67" s="155">
        <f>IF(Daten!$U67=13,1,0)</f>
        <v>0</v>
      </c>
      <c r="K67" s="156">
        <f>IF(Daten!$U67&lt;&gt;Daten!$V67,1,IF(Daten!$U67=14,1,0))</f>
        <v>0</v>
      </c>
      <c r="L67" s="156">
        <f>IF(Daten!$U67&lt;&gt;Daten!$V67,1,IF(Daten!$U67=16,1,0))</f>
        <v>1</v>
      </c>
      <c r="M67" s="156">
        <f>IF(Daten!$V67=17,1,0)</f>
        <v>0</v>
      </c>
      <c r="N67" s="157">
        <f ca="1">IF(Daten!$W67=Sprache!$A$60,1,0)</f>
        <v>0</v>
      </c>
      <c r="O67" s="169">
        <f>IF(AND(Daten!$AK67&lt;=KINVARO!$AW$3,Daten!$AL67&gt;=KINVARO!$AW$3)=TRUE,1,0)</f>
        <v>1</v>
      </c>
      <c r="P67" s="170">
        <f>IF(AND(Daten!$Z67&lt;=KINVARO!$AW$4,Daten!$AA67&gt;=KINVARO!$AW$4)=TRUE,1,0)</f>
        <v>0</v>
      </c>
      <c r="Q67" s="170"/>
      <c r="R67" s="170">
        <f>IF(AND(Daten!$AC67&lt;='Material+Limits'!$I$58,Daten!$AD67&gt;='Material+Limits'!$I$58)=TRUE,1,0)</f>
        <v>1</v>
      </c>
      <c r="S67" s="29">
        <f ca="1">IF(Daten!$X67=Sprache!$A$125,1,0)</f>
        <v>1</v>
      </c>
      <c r="T67" s="28" t="str">
        <f ca="1">Sprache!$A$52</f>
        <v>Podnośnik T-105</v>
      </c>
      <c r="U67" s="32">
        <v>16</v>
      </c>
      <c r="V67" s="29">
        <v>16</v>
      </c>
      <c r="W67" s="30">
        <f ca="1">Sprache!$A$131</f>
        <v>0</v>
      </c>
      <c r="X67" s="30">
        <f ca="1">Sprache!$A$126</f>
        <v>0</v>
      </c>
      <c r="Y67" s="30" t="str">
        <f ca="1">Sprache!$A$69</f>
        <v>Front</v>
      </c>
      <c r="Z67" s="30">
        <v>350</v>
      </c>
      <c r="AA67" s="28">
        <v>399</v>
      </c>
      <c r="AB67" s="30"/>
      <c r="AC67" s="31">
        <v>2.6</v>
      </c>
      <c r="AD67" s="53">
        <v>8.1</v>
      </c>
      <c r="AE67" s="30" t="s">
        <v>793</v>
      </c>
      <c r="AF67" s="30" t="str">
        <f ca="1">Sprache!$A$102</f>
        <v>Lewy</v>
      </c>
      <c r="AG67" s="30" t="str">
        <f ca="1">Sprache!$A$124</f>
        <v>2 podnośniki T-105</v>
      </c>
      <c r="AH67" s="30" t="str">
        <f ca="1">Sprache!$A$115</f>
        <v>Sprężyna standard</v>
      </c>
      <c r="AI67" s="30" t="str">
        <f ca="1">Sprache!$A$138</f>
        <v>podnośnik T-105 prawy</v>
      </c>
      <c r="AJ67" s="30" t="s">
        <v>824</v>
      </c>
      <c r="AK67" s="30">
        <f>'Material+Limits'!$K$9</f>
        <v>200</v>
      </c>
      <c r="AL67" s="28">
        <v>1200</v>
      </c>
      <c r="AM67" s="30" t="str">
        <f ca="1">CONCATENATE("TIOMOS 110° ",Sprache!$A$201)</f>
        <v>TIOMOS 110° zawias do ramy aluminiowej</v>
      </c>
      <c r="AN67" s="30" t="str">
        <f ca="1">CONCATENATE("1D° ",Sprache!$A$200)</f>
        <v>1D° prowadnik</v>
      </c>
    </row>
    <row r="68" spans="1:48" x14ac:dyDescent="0.25">
      <c r="A68" t="str">
        <f t="shared" ca="1" si="3"/>
        <v/>
      </c>
      <c r="B68" t="str">
        <f t="shared" ca="1" si="2"/>
        <v/>
      </c>
      <c r="C68" s="79">
        <f>IF('Material+Limits'!$P$12=TRUE,1,0)</f>
        <v>0</v>
      </c>
      <c r="D68" s="39">
        <f>IF(Daten!$O68+Daten!$P68+Daten!$R68=3,1,0)</f>
        <v>0</v>
      </c>
      <c r="E68" s="184">
        <f ca="1">IF(AND('Material+Limits'!$Q$21=TRUE,Daten!N68=1)=TRUE,1,0)</f>
        <v>1</v>
      </c>
      <c r="F68" s="185">
        <f ca="1">IF(AND('Material+Limits'!$Q$25=TRUE,Daten!M68=1)=TRUE,1,0)</f>
        <v>0</v>
      </c>
      <c r="G68" s="185">
        <f ca="1">IF(AND('Material+Limits'!$Q$24=TRUE,Daten!L68=1)=TRUE,1,0)</f>
        <v>0</v>
      </c>
      <c r="H68" s="185">
        <f ca="1">IF(AND('Material+Limits'!$Q$23=TRUE,Daten!K68=1)=TRUE,1,0)</f>
        <v>0</v>
      </c>
      <c r="I68" s="185">
        <f ca="1">IF(AND('Material+Limits'!$Q$22=TRUE,Daten!J68=1)=TRUE,1,0)</f>
        <v>0</v>
      </c>
      <c r="J68" s="158">
        <f ca="1">IF(Daten!$U68=13,1,0)</f>
        <v>0</v>
      </c>
      <c r="K68" s="159">
        <f ca="1">IF(Daten!$U68&lt;&gt;Daten!$V68,1,IF(Daten!$U68=14,1,0))</f>
        <v>0</v>
      </c>
      <c r="L68" s="159">
        <f ca="1">IF(Daten!$U68&lt;&gt;Daten!$V68,1,IF(Daten!$U68=16,1,0))</f>
        <v>0</v>
      </c>
      <c r="M68" s="159">
        <f ca="1">IF(Daten!$V68=17,1,0)</f>
        <v>0</v>
      </c>
      <c r="N68" s="160">
        <f ca="1">IF(Daten!$W68=Sprache!$A$60,1,0)</f>
        <v>1</v>
      </c>
      <c r="O68" s="173">
        <f>IF(AND(Daten!$AK68&lt;=KINVARO!$AW$3,Daten!$AL68&gt;=KINVARO!$AW$3)=TRUE,1,0)</f>
        <v>1</v>
      </c>
      <c r="P68" s="174">
        <f>IF(AND(Daten!$Z68&lt;=KINVARO!$AW$4,Daten!$AA68&gt;=KINVARO!$AW$4)=TRUE,1,0)</f>
        <v>0</v>
      </c>
      <c r="Q68" s="174"/>
      <c r="R68" s="174">
        <f>IF(AND(Daten!$AC68&lt;='Material+Limits'!$I$58,Daten!$AD68&gt;='Material+Limits'!$I$58)=TRUE,1,0)</f>
        <v>0</v>
      </c>
      <c r="S68" s="38">
        <f ca="1">IF(Daten!$X68=Sprache!$A$125,1,0)</f>
        <v>1</v>
      </c>
      <c r="T68" s="57" t="str">
        <f ca="1">Sprache!$A$52</f>
        <v>Podnośnik T-105</v>
      </c>
      <c r="U68" s="55">
        <f ca="1">Sprache!$A$64</f>
        <v>0</v>
      </c>
      <c r="V68" s="38">
        <f ca="1">Sprache!$A$64</f>
        <v>0</v>
      </c>
      <c r="W68" s="56" t="str">
        <f ca="1">Sprache!$A$60</f>
        <v>Front lity (drewno/płyta)</v>
      </c>
      <c r="X68" s="25">
        <f ca="1">Sprache!$A$126</f>
        <v>0</v>
      </c>
      <c r="Y68" s="56" t="str">
        <f ca="1">Sprache!$A$69</f>
        <v>Front</v>
      </c>
      <c r="Z68" s="56">
        <v>400</v>
      </c>
      <c r="AA68" s="57">
        <v>449</v>
      </c>
      <c r="AB68" s="56"/>
      <c r="AC68" s="58">
        <v>1.3</v>
      </c>
      <c r="AD68" s="59">
        <v>3.4</v>
      </c>
      <c r="AE68" s="56" t="s">
        <v>790</v>
      </c>
      <c r="AF68" s="56" t="str">
        <f ca="1">Sprache!$A$102</f>
        <v>Lewy</v>
      </c>
      <c r="AG68" s="56" t="str">
        <f ca="1">Sprache!$A$123</f>
        <v>1 podnośnik T-105</v>
      </c>
      <c r="AH68" s="56" t="str">
        <f ca="1">Sprache!$A$115</f>
        <v>Sprężyna standard</v>
      </c>
      <c r="AI68" s="56" t="str">
        <f ca="1">Sprache!$A$138</f>
        <v>podnośnik T-105 prawy</v>
      </c>
      <c r="AJ68" s="56" t="s">
        <v>821</v>
      </c>
      <c r="AK68" s="56">
        <f>'Material+Limits'!$K$9</f>
        <v>200</v>
      </c>
      <c r="AL68" s="57">
        <v>1200</v>
      </c>
      <c r="AM68" s="30" t="str">
        <f ca="1">CONCATENATE("TIOMOS 110° ",Sprache!$A$88)</f>
        <v>TIOMOS 110° zawias</v>
      </c>
      <c r="AN68" s="30" t="str">
        <f ca="1">CONCATENATE("1D° ",Sprache!$A$200)</f>
        <v>1D° prowadnik</v>
      </c>
      <c r="AO68"/>
      <c r="AR68"/>
      <c r="AS68"/>
      <c r="AT68"/>
      <c r="AU68"/>
      <c r="AV68"/>
    </row>
    <row r="69" spans="1:48" x14ac:dyDescent="0.25">
      <c r="A69" t="str">
        <f t="shared" ca="1" si="3"/>
        <v/>
      </c>
      <c r="B69" t="str">
        <f t="shared" ca="1" si="2"/>
        <v/>
      </c>
      <c r="C69" s="79">
        <f>IF('Material+Limits'!$P$12=TRUE,1,0)</f>
        <v>0</v>
      </c>
      <c r="D69" s="39">
        <f>IF(Daten!$O69+Daten!$P69+Daten!$R69=3,1,0)</f>
        <v>0</v>
      </c>
      <c r="E69" s="184">
        <f ca="1">IF(AND('Material+Limits'!$Q$21=TRUE,Daten!N69=1)=TRUE,1,0)</f>
        <v>1</v>
      </c>
      <c r="F69" s="185">
        <f ca="1">IF(AND('Material+Limits'!$Q$25=TRUE,Daten!M69=1)=TRUE,1,0)</f>
        <v>0</v>
      </c>
      <c r="G69" s="185">
        <f ca="1">IF(AND('Material+Limits'!$Q$24=TRUE,Daten!L69=1)=TRUE,1,0)</f>
        <v>0</v>
      </c>
      <c r="H69" s="185">
        <f ca="1">IF(AND('Material+Limits'!$Q$23=TRUE,Daten!K69=1)=TRUE,1,0)</f>
        <v>0</v>
      </c>
      <c r="I69" s="185">
        <f ca="1">IF(AND('Material+Limits'!$Q$22=TRUE,Daten!J69=1)=TRUE,1,0)</f>
        <v>0</v>
      </c>
      <c r="J69" s="155">
        <f ca="1">IF(Daten!$U69=13,1,0)</f>
        <v>0</v>
      </c>
      <c r="K69" s="156">
        <f ca="1">IF(Daten!$U69&lt;&gt;Daten!$V69,1,IF(Daten!$U69=14,1,0))</f>
        <v>0</v>
      </c>
      <c r="L69" s="156">
        <f ca="1">IF(Daten!$U69&lt;&gt;Daten!$V69,1,IF(Daten!$U69=16,1,0))</f>
        <v>0</v>
      </c>
      <c r="M69" s="156">
        <f ca="1">IF(Daten!$V69=17,1,0)</f>
        <v>0</v>
      </c>
      <c r="N69" s="157">
        <f ca="1">IF(Daten!$W69=Sprache!$A$60,1,0)</f>
        <v>1</v>
      </c>
      <c r="O69" s="169">
        <f>IF(AND(Daten!$AK69&lt;=KINVARO!$AW$3,Daten!$AL69&gt;=KINVARO!$AW$3)=TRUE,1,0)</f>
        <v>1</v>
      </c>
      <c r="P69" s="170">
        <f>IF(AND(Daten!$Z69&lt;=KINVARO!$AW$4,Daten!$AA69&gt;=KINVARO!$AW$4)=TRUE,1,0)</f>
        <v>0</v>
      </c>
      <c r="R69" s="170">
        <f>IF(AND(Daten!$AC69&lt;='Material+Limits'!$I$58,Daten!$AD69&gt;='Material+Limits'!$I$58)=TRUE,1,0)</f>
        <v>0</v>
      </c>
      <c r="S69" s="29">
        <f ca="1">IF(Daten!$X69=Sprache!$A$125,1,0)</f>
        <v>1</v>
      </c>
      <c r="T69" s="28" t="str">
        <f ca="1">Sprache!$A$52</f>
        <v>Podnośnik T-105</v>
      </c>
      <c r="U69" s="32">
        <f ca="1">Sprache!$A$64</f>
        <v>0</v>
      </c>
      <c r="V69" s="29">
        <f ca="1">Sprache!$A$64</f>
        <v>0</v>
      </c>
      <c r="W69" s="30" t="str">
        <f ca="1">Sprache!$A$60</f>
        <v>Front lity (drewno/płyta)</v>
      </c>
      <c r="X69" s="30">
        <f ca="1">Sprache!$A$126</f>
        <v>0</v>
      </c>
      <c r="Y69" s="30" t="str">
        <f ca="1">Sprache!$A$69</f>
        <v>Front</v>
      </c>
      <c r="Z69" s="30">
        <v>400</v>
      </c>
      <c r="AA69" s="28">
        <v>449</v>
      </c>
      <c r="AB69" s="30"/>
      <c r="AC69" s="31">
        <v>2.2000000000000002</v>
      </c>
      <c r="AD69" s="53">
        <v>4</v>
      </c>
      <c r="AE69" s="30" t="s">
        <v>791</v>
      </c>
      <c r="AF69" s="30" t="str">
        <f ca="1">Sprache!$A$102</f>
        <v>Lewy</v>
      </c>
      <c r="AG69" s="30" t="str">
        <f ca="1">Sprache!$A$123</f>
        <v>1 podnośnik T-105</v>
      </c>
      <c r="AH69" s="30" t="str">
        <f ca="1">Sprache!$A$116</f>
        <v>Sprężyna czarna</v>
      </c>
      <c r="AI69" s="30" t="str">
        <f ca="1">Sprache!$A$138</f>
        <v>podnośnik T-105 prawy</v>
      </c>
      <c r="AJ69" s="30" t="s">
        <v>822</v>
      </c>
      <c r="AK69" s="30">
        <f>'Material+Limits'!$K$9</f>
        <v>200</v>
      </c>
      <c r="AL69" s="28">
        <v>1200</v>
      </c>
      <c r="AM69" s="30" t="str">
        <f ca="1">CONCATENATE("TIOMOS 110° ",Sprache!$A$88)</f>
        <v>TIOMOS 110° zawias</v>
      </c>
      <c r="AN69" s="30" t="str">
        <f ca="1">CONCATENATE("1D° ",Sprache!$A$200)</f>
        <v>1D° prowadnik</v>
      </c>
      <c r="AO69"/>
      <c r="AR69"/>
      <c r="AS69"/>
      <c r="AT69"/>
      <c r="AU69"/>
      <c r="AV69"/>
    </row>
    <row r="70" spans="1:48" x14ac:dyDescent="0.25">
      <c r="A70" t="str">
        <f t="shared" ca="1" si="3"/>
        <v/>
      </c>
      <c r="B70" t="str">
        <f t="shared" ca="1" si="2"/>
        <v/>
      </c>
      <c r="C70" s="79">
        <f>IF('Material+Limits'!$P$12=TRUE,1,0)</f>
        <v>0</v>
      </c>
      <c r="D70" s="39">
        <f>IF(Daten!$O70+Daten!$P70+Daten!$R70=3,1,0)</f>
        <v>0</v>
      </c>
      <c r="E70" s="184">
        <f ca="1">IF(AND('Material+Limits'!$Q$21=TRUE,Daten!N70=1)=TRUE,1,0)</f>
        <v>0</v>
      </c>
      <c r="F70" s="185">
        <f>IF(AND('Material+Limits'!$Q$25=TRUE,Daten!M70=1)=TRUE,1,0)</f>
        <v>0</v>
      </c>
      <c r="G70" s="185">
        <f>IF(AND('Material+Limits'!$Q$24=TRUE,Daten!L70=1)=TRUE,1,0)</f>
        <v>0</v>
      </c>
      <c r="H70" s="185">
        <f>IF(AND('Material+Limits'!$Q$23=TRUE,Daten!K70=1)=TRUE,1,0)</f>
        <v>0</v>
      </c>
      <c r="I70" s="185">
        <f>IF(AND('Material+Limits'!$Q$22=TRUE,Daten!J70=1)=TRUE,1,0)</f>
        <v>0</v>
      </c>
      <c r="J70" s="158">
        <f>IF(Daten!$U70=13,1,0)</f>
        <v>0</v>
      </c>
      <c r="K70" s="159">
        <f>IF(Daten!$U70&lt;&gt;Daten!$V70,1,IF(Daten!$U70=14,1,0))</f>
        <v>1</v>
      </c>
      <c r="L70" s="159">
        <f>IF(Daten!$U70&lt;&gt;Daten!$V70,1,IF(Daten!$U70=16,1,0))</f>
        <v>0</v>
      </c>
      <c r="M70" s="159">
        <f>IF(Daten!$V70=17,1,0)</f>
        <v>0</v>
      </c>
      <c r="N70" s="160">
        <f ca="1">IF(Daten!$W70=Sprache!$A$60,1,0)</f>
        <v>0</v>
      </c>
      <c r="O70" s="171">
        <f>IF(AND(Daten!$AK70&lt;=KINVARO!$AW$3,Daten!$AL70&gt;=KINVARO!$AW$3)=TRUE,1,0)</f>
        <v>1</v>
      </c>
      <c r="P70" s="172">
        <f>IF(AND(Daten!$Z70&lt;=KINVARO!$AW$4,Daten!$AA70&gt;=KINVARO!$AW$4)=TRUE,1,0)</f>
        <v>0</v>
      </c>
      <c r="Q70" s="172"/>
      <c r="R70" s="172">
        <f>IF(AND(Daten!$AC70&lt;='Material+Limits'!$I$58,Daten!$AD70&gt;='Material+Limits'!$I$58)=TRUE,1,0)</f>
        <v>0</v>
      </c>
      <c r="S70" s="23">
        <f ca="1">IF(Daten!$X70=Sprache!$A$125,1,0)</f>
        <v>1</v>
      </c>
      <c r="T70" s="24" t="str">
        <f ca="1">Sprache!$A$52</f>
        <v>Podnośnik T-105</v>
      </c>
      <c r="U70" s="27">
        <v>14</v>
      </c>
      <c r="V70" s="23">
        <v>14</v>
      </c>
      <c r="W70" s="25">
        <f ca="1">Sprache!$A$131</f>
        <v>0</v>
      </c>
      <c r="X70" s="25">
        <f ca="1">Sprache!$A$126</f>
        <v>0</v>
      </c>
      <c r="Y70" s="25" t="str">
        <f ca="1">Sprache!$A$69</f>
        <v>Front</v>
      </c>
      <c r="Z70" s="25">
        <v>400</v>
      </c>
      <c r="AA70" s="24">
        <v>449</v>
      </c>
      <c r="AB70" s="25"/>
      <c r="AC70" s="26">
        <v>1.3</v>
      </c>
      <c r="AD70" s="54">
        <v>3.4</v>
      </c>
      <c r="AE70" s="25" t="s">
        <v>792</v>
      </c>
      <c r="AF70" s="25" t="str">
        <f ca="1">Sprache!$A$102</f>
        <v>Lewy</v>
      </c>
      <c r="AG70" s="25" t="str">
        <f ca="1">Sprache!$A$123</f>
        <v>1 podnośnik T-105</v>
      </c>
      <c r="AH70" s="25" t="str">
        <f ca="1">Sprache!$A$115</f>
        <v>Sprężyna standard</v>
      </c>
      <c r="AI70" s="25" t="str">
        <f ca="1">Sprache!$A$138</f>
        <v>podnośnik T-105 prawy</v>
      </c>
      <c r="AJ70" s="25" t="s">
        <v>823</v>
      </c>
      <c r="AK70" s="25">
        <f>'Material+Limits'!$K$9</f>
        <v>200</v>
      </c>
      <c r="AL70" s="24">
        <v>1200</v>
      </c>
      <c r="AM70" s="30" t="str">
        <f ca="1">CONCATENATE("TIOMOS 110° ",Sprache!$A$201)</f>
        <v>TIOMOS 110° zawias do ramy aluminiowej</v>
      </c>
      <c r="AN70" s="30" t="str">
        <f ca="1">CONCATENATE("1D° ",Sprache!$A$200)</f>
        <v>1D° prowadnik</v>
      </c>
      <c r="AO70"/>
      <c r="AR70"/>
      <c r="AS70"/>
      <c r="AT70"/>
      <c r="AU70"/>
      <c r="AV70"/>
    </row>
    <row r="71" spans="1:48" x14ac:dyDescent="0.25">
      <c r="A71" t="str">
        <f t="shared" ca="1" si="3"/>
        <v/>
      </c>
      <c r="B71" t="str">
        <f t="shared" ca="1" si="2"/>
        <v/>
      </c>
      <c r="C71" s="79">
        <f>IF('Material+Limits'!$P$12=TRUE,1,0)</f>
        <v>0</v>
      </c>
      <c r="D71" s="39">
        <f>IF(Daten!$O71+Daten!$P71+Daten!$R71=3,1,0)</f>
        <v>0</v>
      </c>
      <c r="E71" s="184">
        <f ca="1">IF(AND('Material+Limits'!$Q$21=TRUE,Daten!N71=1)=TRUE,1,0)</f>
        <v>0</v>
      </c>
      <c r="F71" s="185">
        <f>IF(AND('Material+Limits'!$Q$25=TRUE,Daten!M71=1)=TRUE,1,0)</f>
        <v>0</v>
      </c>
      <c r="G71" s="185">
        <f>IF(AND('Material+Limits'!$Q$24=TRUE,Daten!L71=1)=TRUE,1,0)</f>
        <v>0</v>
      </c>
      <c r="H71" s="185">
        <f>IF(AND('Material+Limits'!$Q$23=TRUE,Daten!K71=1)=TRUE,1,0)</f>
        <v>0</v>
      </c>
      <c r="I71" s="185">
        <f>IF(AND('Material+Limits'!$Q$22=TRUE,Daten!J71=1)=TRUE,1,0)</f>
        <v>0</v>
      </c>
      <c r="J71" s="155">
        <f>IF(Daten!$U71=13,1,0)</f>
        <v>0</v>
      </c>
      <c r="K71" s="156">
        <f>IF(Daten!$U71&lt;&gt;Daten!$V71,1,IF(Daten!$U71=14,1,0))</f>
        <v>0</v>
      </c>
      <c r="L71" s="156">
        <f>IF(Daten!$U71&lt;&gt;Daten!$V71,1,IF(Daten!$U71=16,1,0))</f>
        <v>1</v>
      </c>
      <c r="M71" s="156">
        <f>IF(Daten!$V71=17,1,0)</f>
        <v>0</v>
      </c>
      <c r="N71" s="157">
        <f ca="1">IF(Daten!$W71=Sprache!$A$60,1,0)</f>
        <v>0</v>
      </c>
      <c r="O71" s="169">
        <f>IF(AND(Daten!$AK71&lt;=KINVARO!$AW$3,Daten!$AL71&gt;=KINVARO!$AW$3)=TRUE,1,0)</f>
        <v>1</v>
      </c>
      <c r="P71" s="170">
        <f>IF(AND(Daten!$Z71&lt;=KINVARO!$AW$4,Daten!$AA71&gt;=KINVARO!$AW$4)=TRUE,1,0)</f>
        <v>0</v>
      </c>
      <c r="R71" s="170">
        <f>IF(AND(Daten!$AC71&lt;='Material+Limits'!$I$58,Daten!$AD71&gt;='Material+Limits'!$I$58)=TRUE,1,0)</f>
        <v>0</v>
      </c>
      <c r="S71" s="29">
        <f ca="1">IF(Daten!$X71=Sprache!$A$125,1,0)</f>
        <v>1</v>
      </c>
      <c r="T71" s="28" t="str">
        <f ca="1">Sprache!$A$52</f>
        <v>Podnośnik T-105</v>
      </c>
      <c r="U71" s="32">
        <v>16</v>
      </c>
      <c r="V71" s="29">
        <v>16</v>
      </c>
      <c r="W71" s="30">
        <f ca="1">Sprache!$A$131</f>
        <v>0</v>
      </c>
      <c r="X71" s="30">
        <f ca="1">Sprache!$A$126</f>
        <v>0</v>
      </c>
      <c r="Y71" s="30" t="str">
        <f ca="1">Sprache!$A$69</f>
        <v>Front</v>
      </c>
      <c r="Z71" s="30">
        <v>400</v>
      </c>
      <c r="AA71" s="28">
        <v>449</v>
      </c>
      <c r="AB71" s="30"/>
      <c r="AC71" s="31">
        <v>1.3</v>
      </c>
      <c r="AD71" s="53">
        <v>3.4</v>
      </c>
      <c r="AE71" s="30" t="s">
        <v>793</v>
      </c>
      <c r="AF71" s="30" t="str">
        <f ca="1">Sprache!$A$102</f>
        <v>Lewy</v>
      </c>
      <c r="AG71" s="30" t="str">
        <f ca="1">Sprache!$A$123</f>
        <v>1 podnośnik T-105</v>
      </c>
      <c r="AH71" s="30" t="str">
        <f ca="1">Sprache!$A$115</f>
        <v>Sprężyna standard</v>
      </c>
      <c r="AI71" s="30" t="str">
        <f ca="1">Sprache!$A$138</f>
        <v>podnośnik T-105 prawy</v>
      </c>
      <c r="AJ71" s="30" t="s">
        <v>824</v>
      </c>
      <c r="AK71" s="30">
        <f>'Material+Limits'!$K$9</f>
        <v>200</v>
      </c>
      <c r="AL71" s="28">
        <v>1200</v>
      </c>
      <c r="AM71" s="30" t="str">
        <f ca="1">CONCATENATE("TIOMOS 110° ",Sprache!$A$201)</f>
        <v>TIOMOS 110° zawias do ramy aluminiowej</v>
      </c>
      <c r="AN71" s="30" t="str">
        <f ca="1">CONCATENATE("1D° ",Sprache!$A$200)</f>
        <v>1D° prowadnik</v>
      </c>
      <c r="AO71"/>
      <c r="AR71"/>
      <c r="AS71"/>
      <c r="AT71"/>
      <c r="AU71"/>
      <c r="AV71"/>
    </row>
    <row r="72" spans="1:48" x14ac:dyDescent="0.25">
      <c r="A72" t="str">
        <f t="shared" ca="1" si="3"/>
        <v/>
      </c>
      <c r="B72" t="str">
        <f t="shared" ca="1" si="2"/>
        <v/>
      </c>
      <c r="C72" s="79">
        <f>IF('Material+Limits'!$P$12=TRUE,1,0)</f>
        <v>0</v>
      </c>
      <c r="D72" s="39">
        <f>IF(Daten!$O72+Daten!$P72+Daten!$R72=3,1,0)</f>
        <v>0</v>
      </c>
      <c r="E72" s="184">
        <f ca="1">IF(AND('Material+Limits'!$Q$21=TRUE,Daten!N72=1)=TRUE,1,0)</f>
        <v>1</v>
      </c>
      <c r="F72" s="185">
        <f ca="1">IF(AND('Material+Limits'!$Q$25=TRUE,Daten!M72=1)=TRUE,1,0)</f>
        <v>0</v>
      </c>
      <c r="G72" s="185">
        <f ca="1">IF(AND('Material+Limits'!$Q$24=TRUE,Daten!L72=1)=TRUE,1,0)</f>
        <v>0</v>
      </c>
      <c r="H72" s="185">
        <f ca="1">IF(AND('Material+Limits'!$Q$23=TRUE,Daten!K72=1)=TRUE,1,0)</f>
        <v>0</v>
      </c>
      <c r="I72" s="185">
        <f ca="1">IF(AND('Material+Limits'!$Q$22=TRUE,Daten!J72=1)=TRUE,1,0)</f>
        <v>0</v>
      </c>
      <c r="J72" s="158">
        <f ca="1">IF(Daten!$U72=13,1,0)</f>
        <v>0</v>
      </c>
      <c r="K72" s="159">
        <f ca="1">IF(Daten!$U72&lt;&gt;Daten!$V72,1,IF(Daten!$U72=14,1,0))</f>
        <v>0</v>
      </c>
      <c r="L72" s="159">
        <f ca="1">IF(Daten!$U72&lt;&gt;Daten!$V72,1,IF(Daten!$U72=16,1,0))</f>
        <v>0</v>
      </c>
      <c r="M72" s="159">
        <f ca="1">IF(Daten!$V72=17,1,0)</f>
        <v>0</v>
      </c>
      <c r="N72" s="160">
        <f ca="1">IF(Daten!$W72=Sprache!$A$60,1,0)</f>
        <v>1</v>
      </c>
      <c r="O72" s="171">
        <f>IF(AND(Daten!$AK72&lt;=KINVARO!$AW$3,Daten!$AL72&gt;=KINVARO!$AW$3)=TRUE,1,0)</f>
        <v>1</v>
      </c>
      <c r="P72" s="172">
        <f>IF(AND(Daten!$Z72&lt;=KINVARO!$AW$4,Daten!$AA72&gt;=KINVARO!$AW$4)=TRUE,1,0)</f>
        <v>0</v>
      </c>
      <c r="Q72" s="172"/>
      <c r="R72" s="172">
        <f>IF(AND(Daten!$AC72&lt;='Material+Limits'!$I$58,Daten!$AD72&gt;='Material+Limits'!$I$58)=TRUE,1,0)</f>
        <v>1</v>
      </c>
      <c r="S72" s="23">
        <f ca="1">IF(Daten!$X72=Sprache!$A$125,1,0)</f>
        <v>1</v>
      </c>
      <c r="T72" s="24" t="str">
        <f ca="1">Sprache!$A$52</f>
        <v>Podnośnik T-105</v>
      </c>
      <c r="U72" s="27">
        <f ca="1">Sprache!$A$64</f>
        <v>0</v>
      </c>
      <c r="V72" s="23">
        <f ca="1">Sprache!$A$64</f>
        <v>0</v>
      </c>
      <c r="W72" s="25" t="str">
        <f ca="1">Sprache!$A$60</f>
        <v>Front lity (drewno/płyta)</v>
      </c>
      <c r="X72" s="25">
        <f ca="1">Sprache!$A$126</f>
        <v>0</v>
      </c>
      <c r="Y72" s="25" t="str">
        <f ca="1">Sprache!$A$69</f>
        <v>Front</v>
      </c>
      <c r="Z72" s="25">
        <v>400</v>
      </c>
      <c r="AA72" s="24">
        <v>449</v>
      </c>
      <c r="AB72" s="25"/>
      <c r="AC72" s="26">
        <v>2.6</v>
      </c>
      <c r="AD72" s="54">
        <v>6.8</v>
      </c>
      <c r="AE72" s="25" t="s">
        <v>790</v>
      </c>
      <c r="AF72" s="25" t="str">
        <f ca="1">Sprache!$A$102</f>
        <v>Lewy</v>
      </c>
      <c r="AG72" s="25" t="str">
        <f ca="1">Sprache!$A$124</f>
        <v>2 podnośniki T-105</v>
      </c>
      <c r="AH72" s="25" t="str">
        <f ca="1">Sprache!$A$115</f>
        <v>Sprężyna standard</v>
      </c>
      <c r="AI72" s="25" t="str">
        <f ca="1">Sprache!$A$138</f>
        <v>podnośnik T-105 prawy</v>
      </c>
      <c r="AJ72" s="25" t="s">
        <v>821</v>
      </c>
      <c r="AK72" s="25">
        <f>'Material+Limits'!$K$9</f>
        <v>200</v>
      </c>
      <c r="AL72" s="24">
        <v>1200</v>
      </c>
      <c r="AM72" s="30" t="str">
        <f ca="1">CONCATENATE("TIOMOS 110° ",Sprache!$A$88)</f>
        <v>TIOMOS 110° zawias</v>
      </c>
      <c r="AN72" s="30" t="str">
        <f ca="1">CONCATENATE("1D° ",Sprache!$A$200)</f>
        <v>1D° prowadnik</v>
      </c>
      <c r="AO72"/>
      <c r="AR72"/>
      <c r="AS72"/>
      <c r="AT72"/>
      <c r="AU72"/>
      <c r="AV72"/>
    </row>
    <row r="73" spans="1:48" x14ac:dyDescent="0.25">
      <c r="A73" t="str">
        <f t="shared" ca="1" si="3"/>
        <v/>
      </c>
      <c r="B73" t="str">
        <f t="shared" ca="1" si="2"/>
        <v/>
      </c>
      <c r="C73" s="79">
        <f>IF('Material+Limits'!$P$12=TRUE,1,0)</f>
        <v>0</v>
      </c>
      <c r="D73" s="39">
        <f>IF(Daten!$O73+Daten!$P73+Daten!$R73=3,1,0)</f>
        <v>0</v>
      </c>
      <c r="E73" s="184">
        <f ca="1">IF(AND('Material+Limits'!$Q$21=TRUE,Daten!N73=1)=TRUE,1,0)</f>
        <v>1</v>
      </c>
      <c r="F73" s="185">
        <f ca="1">IF(AND('Material+Limits'!$Q$25=TRUE,Daten!M73=1)=TRUE,1,0)</f>
        <v>0</v>
      </c>
      <c r="G73" s="185">
        <f ca="1">IF(AND('Material+Limits'!$Q$24=TRUE,Daten!L73=1)=TRUE,1,0)</f>
        <v>0</v>
      </c>
      <c r="H73" s="185">
        <f ca="1">IF(AND('Material+Limits'!$Q$23=TRUE,Daten!K73=1)=TRUE,1,0)</f>
        <v>0</v>
      </c>
      <c r="I73" s="185">
        <f ca="1">IF(AND('Material+Limits'!$Q$22=TRUE,Daten!J73=1)=TRUE,1,0)</f>
        <v>0</v>
      </c>
      <c r="J73" s="155">
        <f ca="1">IF(Daten!$U73=13,1,0)</f>
        <v>0</v>
      </c>
      <c r="K73" s="156">
        <f ca="1">IF(Daten!$U73&lt;&gt;Daten!$V73,1,IF(Daten!$U73=14,1,0))</f>
        <v>0</v>
      </c>
      <c r="L73" s="156">
        <f ca="1">IF(Daten!$U73&lt;&gt;Daten!$V73,1,IF(Daten!$U73=16,1,0))</f>
        <v>0</v>
      </c>
      <c r="M73" s="156">
        <f ca="1">IF(Daten!$V73=17,1,0)</f>
        <v>0</v>
      </c>
      <c r="N73" s="157">
        <f ca="1">IF(Daten!$W73=Sprache!$A$60,1,0)</f>
        <v>1</v>
      </c>
      <c r="O73" s="169">
        <f>IF(AND(Daten!$AK73&lt;=KINVARO!$AW$3,Daten!$AL73&gt;=KINVARO!$AW$3)=TRUE,1,0)</f>
        <v>1</v>
      </c>
      <c r="P73" s="170">
        <f>IF(AND(Daten!$Z73&lt;=KINVARO!$AW$4,Daten!$AA73&gt;=KINVARO!$AW$4)=TRUE,1,0)</f>
        <v>0</v>
      </c>
      <c r="R73" s="170">
        <f>IF(AND(Daten!$AC73&lt;='Material+Limits'!$I$58,Daten!$AD73&gt;='Material+Limits'!$I$58)=TRUE,1,0)</f>
        <v>1</v>
      </c>
      <c r="S73" s="29">
        <f ca="1">IF(Daten!$X73=Sprache!$A$125,1,0)</f>
        <v>1</v>
      </c>
      <c r="T73" s="28" t="str">
        <f ca="1">Sprache!$A$52</f>
        <v>Podnośnik T-105</v>
      </c>
      <c r="U73" s="32">
        <f ca="1">Sprache!$A$64</f>
        <v>0</v>
      </c>
      <c r="V73" s="29">
        <f ca="1">Sprache!$A$64</f>
        <v>0</v>
      </c>
      <c r="W73" s="30" t="str">
        <f ca="1">Sprache!$A$60</f>
        <v>Front lity (drewno/płyta)</v>
      </c>
      <c r="X73" s="30">
        <f ca="1">Sprache!$A$126</f>
        <v>0</v>
      </c>
      <c r="Y73" s="30" t="str">
        <f ca="1">Sprache!$A$69</f>
        <v>Front</v>
      </c>
      <c r="Z73" s="30">
        <v>400</v>
      </c>
      <c r="AA73" s="28">
        <v>449</v>
      </c>
      <c r="AB73" s="30"/>
      <c r="AC73" s="31">
        <v>4.3</v>
      </c>
      <c r="AD73" s="53">
        <v>8.1</v>
      </c>
      <c r="AE73" s="30" t="s">
        <v>791</v>
      </c>
      <c r="AF73" s="30" t="str">
        <f ca="1">Sprache!$A$102</f>
        <v>Lewy</v>
      </c>
      <c r="AG73" s="30" t="str">
        <f ca="1">Sprache!$A$124</f>
        <v>2 podnośniki T-105</v>
      </c>
      <c r="AH73" s="30" t="str">
        <f ca="1">Sprache!$A$116</f>
        <v>Sprężyna czarna</v>
      </c>
      <c r="AI73" s="30" t="str">
        <f ca="1">Sprache!$A$138</f>
        <v>podnośnik T-105 prawy</v>
      </c>
      <c r="AJ73" s="30" t="s">
        <v>822</v>
      </c>
      <c r="AK73" s="30">
        <f>'Material+Limits'!$K$9</f>
        <v>200</v>
      </c>
      <c r="AL73" s="28">
        <v>1200</v>
      </c>
      <c r="AM73" s="30" t="str">
        <f ca="1">CONCATENATE("TIOMOS 110° ",Sprache!$A$88)</f>
        <v>TIOMOS 110° zawias</v>
      </c>
      <c r="AN73" s="30" t="str">
        <f ca="1">CONCATENATE("1D° ",Sprache!$A$200)</f>
        <v>1D° prowadnik</v>
      </c>
      <c r="AO73"/>
      <c r="AR73"/>
      <c r="AS73"/>
      <c r="AT73"/>
      <c r="AU73"/>
      <c r="AV73"/>
    </row>
    <row r="74" spans="1:48" x14ac:dyDescent="0.25">
      <c r="A74" t="str">
        <f t="shared" ca="1" si="3"/>
        <v/>
      </c>
      <c r="B74" t="str">
        <f t="shared" ca="1" si="2"/>
        <v/>
      </c>
      <c r="C74" s="79">
        <f>IF('Material+Limits'!$P$12=TRUE,1,0)</f>
        <v>0</v>
      </c>
      <c r="D74" s="39">
        <f>IF(Daten!$O74+Daten!$P74+Daten!$R74=3,1,0)</f>
        <v>0</v>
      </c>
      <c r="E74" s="184">
        <f ca="1">IF(AND('Material+Limits'!$Q$21=TRUE,Daten!N74=1)=TRUE,1,0)</f>
        <v>0</v>
      </c>
      <c r="F74" s="185">
        <f>IF(AND('Material+Limits'!$Q$25=TRUE,Daten!M74=1)=TRUE,1,0)</f>
        <v>0</v>
      </c>
      <c r="G74" s="185">
        <f>IF(AND('Material+Limits'!$Q$24=TRUE,Daten!L74=1)=TRUE,1,0)</f>
        <v>0</v>
      </c>
      <c r="H74" s="185">
        <f>IF(AND('Material+Limits'!$Q$23=TRUE,Daten!K74=1)=TRUE,1,0)</f>
        <v>0</v>
      </c>
      <c r="I74" s="185">
        <f>IF(AND('Material+Limits'!$Q$22=TRUE,Daten!J74=1)=TRUE,1,0)</f>
        <v>0</v>
      </c>
      <c r="J74" s="158">
        <f>IF(Daten!$U74=13,1,0)</f>
        <v>0</v>
      </c>
      <c r="K74" s="159">
        <f>IF(Daten!$U74&lt;&gt;Daten!$V74,1,IF(Daten!$U74=14,1,0))</f>
        <v>1</v>
      </c>
      <c r="L74" s="159">
        <f>IF(Daten!$U74&lt;&gt;Daten!$V74,1,IF(Daten!$U74=16,1,0))</f>
        <v>0</v>
      </c>
      <c r="M74" s="159">
        <f>IF(Daten!$V74=17,1,0)</f>
        <v>0</v>
      </c>
      <c r="N74" s="160">
        <f ca="1">IF(Daten!$W74=Sprache!$A$60,1,0)</f>
        <v>0</v>
      </c>
      <c r="O74" s="171">
        <f>IF(AND(Daten!$AK74&lt;=KINVARO!$AW$3,Daten!$AL74&gt;=KINVARO!$AW$3)=TRUE,1,0)</f>
        <v>1</v>
      </c>
      <c r="P74" s="172">
        <f>IF(AND(Daten!$Z74&lt;=KINVARO!$AW$4,Daten!$AA74&gt;=KINVARO!$AW$4)=TRUE,1,0)</f>
        <v>0</v>
      </c>
      <c r="Q74" s="172"/>
      <c r="R74" s="172">
        <f>IF(AND(Daten!$AC74&lt;='Material+Limits'!$I$58,Daten!$AD74&gt;='Material+Limits'!$I$58)=TRUE,1,0)</f>
        <v>1</v>
      </c>
      <c r="S74" s="23">
        <f ca="1">IF(Daten!$X74=Sprache!$A$125,1,0)</f>
        <v>1</v>
      </c>
      <c r="T74" s="24" t="str">
        <f ca="1">Sprache!$A$52</f>
        <v>Podnośnik T-105</v>
      </c>
      <c r="U74" s="27">
        <v>14</v>
      </c>
      <c r="V74" s="23">
        <v>14</v>
      </c>
      <c r="W74" s="25">
        <f ca="1">Sprache!$A$131</f>
        <v>0</v>
      </c>
      <c r="X74" s="25">
        <f ca="1">Sprache!$A$126</f>
        <v>0</v>
      </c>
      <c r="Y74" s="25" t="str">
        <f ca="1">Sprache!$A$69</f>
        <v>Front</v>
      </c>
      <c r="Z74" s="25">
        <v>400</v>
      </c>
      <c r="AA74" s="24">
        <v>449</v>
      </c>
      <c r="AB74" s="25"/>
      <c r="AC74" s="26">
        <v>2.6</v>
      </c>
      <c r="AD74" s="54">
        <v>6.8</v>
      </c>
      <c r="AE74" s="25" t="s">
        <v>792</v>
      </c>
      <c r="AF74" s="25" t="str">
        <f ca="1">Sprache!$A$102</f>
        <v>Lewy</v>
      </c>
      <c r="AG74" s="25" t="str">
        <f ca="1">Sprache!$A$124</f>
        <v>2 podnośniki T-105</v>
      </c>
      <c r="AH74" s="25" t="str">
        <f ca="1">Sprache!$A$115</f>
        <v>Sprężyna standard</v>
      </c>
      <c r="AI74" s="25" t="str">
        <f ca="1">Sprache!$A$138</f>
        <v>podnośnik T-105 prawy</v>
      </c>
      <c r="AJ74" s="25" t="s">
        <v>823</v>
      </c>
      <c r="AK74" s="25">
        <f>'Material+Limits'!$K$9</f>
        <v>200</v>
      </c>
      <c r="AL74" s="24">
        <v>1200</v>
      </c>
      <c r="AM74" s="30" t="str">
        <f ca="1">CONCATENATE("TIOMOS 110° ",Sprache!$A$201)</f>
        <v>TIOMOS 110° zawias do ramy aluminiowej</v>
      </c>
      <c r="AN74" s="30" t="str">
        <f ca="1">CONCATENATE("1D° ",Sprache!$A$200)</f>
        <v>1D° prowadnik</v>
      </c>
      <c r="AO74"/>
      <c r="AR74"/>
      <c r="AS74"/>
      <c r="AT74"/>
      <c r="AU74"/>
      <c r="AV74"/>
    </row>
    <row r="75" spans="1:48" s="5" customFormat="1" x14ac:dyDescent="0.25">
      <c r="A75" t="str">
        <f t="shared" ca="1" si="3"/>
        <v/>
      </c>
      <c r="B75" t="str">
        <f t="shared" ca="1" si="2"/>
        <v/>
      </c>
      <c r="C75" s="79">
        <f>IF('Material+Limits'!$P$12=TRUE,1,0)</f>
        <v>0</v>
      </c>
      <c r="D75" s="39">
        <f>IF(Daten!$O75+Daten!$P75+Daten!$R75=3,1,0)</f>
        <v>0</v>
      </c>
      <c r="E75" s="184">
        <f ca="1">IF(AND('Material+Limits'!$Q$21=TRUE,Daten!N75=1)=TRUE,1,0)</f>
        <v>0</v>
      </c>
      <c r="F75" s="185">
        <f>IF(AND('Material+Limits'!$Q$25=TRUE,Daten!M75=1)=TRUE,1,0)</f>
        <v>0</v>
      </c>
      <c r="G75" s="185">
        <f>IF(AND('Material+Limits'!$Q$24=TRUE,Daten!L75=1)=TRUE,1,0)</f>
        <v>0</v>
      </c>
      <c r="H75" s="185">
        <f>IF(AND('Material+Limits'!$Q$23=TRUE,Daten!K75=1)=TRUE,1,0)</f>
        <v>0</v>
      </c>
      <c r="I75" s="185">
        <f>IF(AND('Material+Limits'!$Q$22=TRUE,Daten!J75=1)=TRUE,1,0)</f>
        <v>0</v>
      </c>
      <c r="J75" s="155">
        <f>IF(Daten!$U75=13,1,0)</f>
        <v>0</v>
      </c>
      <c r="K75" s="156">
        <f>IF(Daten!$U75&lt;&gt;Daten!$V75,1,IF(Daten!$U75=14,1,0))</f>
        <v>0</v>
      </c>
      <c r="L75" s="156">
        <f>IF(Daten!$U75&lt;&gt;Daten!$V75,1,IF(Daten!$U75=16,1,0))</f>
        <v>1</v>
      </c>
      <c r="M75" s="156">
        <f>IF(Daten!$V75=17,1,0)</f>
        <v>0</v>
      </c>
      <c r="N75" s="157">
        <f ca="1">IF(Daten!$W75=Sprache!$A$60,1,0)</f>
        <v>0</v>
      </c>
      <c r="O75" s="169">
        <f>IF(AND(Daten!$AK75&lt;=KINVARO!$AW$3,Daten!$AL75&gt;=KINVARO!$AW$3)=TRUE,1,0)</f>
        <v>1</v>
      </c>
      <c r="P75" s="170">
        <f>IF(AND(Daten!$Z75&lt;=KINVARO!$AW$4,Daten!$AA75&gt;=KINVARO!$AW$4)=TRUE,1,0)</f>
        <v>0</v>
      </c>
      <c r="Q75" s="170"/>
      <c r="R75" s="170">
        <f>IF(AND(Daten!$AC75&lt;='Material+Limits'!$I$58,Daten!$AD75&gt;='Material+Limits'!$I$58)=TRUE,1,0)</f>
        <v>1</v>
      </c>
      <c r="S75" s="29">
        <f ca="1">IF(Daten!$X75=Sprache!$A$125,1,0)</f>
        <v>1</v>
      </c>
      <c r="T75" s="28" t="str">
        <f ca="1">Sprache!$A$52</f>
        <v>Podnośnik T-105</v>
      </c>
      <c r="U75" s="32">
        <v>16</v>
      </c>
      <c r="V75" s="29">
        <v>16</v>
      </c>
      <c r="W75" s="30">
        <f ca="1">Sprache!$A$131</f>
        <v>0</v>
      </c>
      <c r="X75" s="30">
        <f ca="1">Sprache!$A$126</f>
        <v>0</v>
      </c>
      <c r="Y75" s="30" t="str">
        <f ca="1">Sprache!$A$69</f>
        <v>Front</v>
      </c>
      <c r="Z75" s="30">
        <v>400</v>
      </c>
      <c r="AA75" s="28">
        <v>449</v>
      </c>
      <c r="AB75" s="30"/>
      <c r="AC75" s="31">
        <v>2.6</v>
      </c>
      <c r="AD75" s="53">
        <v>6.8</v>
      </c>
      <c r="AE75" s="30" t="s">
        <v>793</v>
      </c>
      <c r="AF75" s="30" t="str">
        <f ca="1">Sprache!$A$102</f>
        <v>Lewy</v>
      </c>
      <c r="AG75" s="30" t="str">
        <f ca="1">Sprache!$A$124</f>
        <v>2 podnośniki T-105</v>
      </c>
      <c r="AH75" s="30" t="str">
        <f ca="1">Sprache!$A$115</f>
        <v>Sprężyna standard</v>
      </c>
      <c r="AI75" s="30" t="str">
        <f ca="1">Sprache!$A$138</f>
        <v>podnośnik T-105 prawy</v>
      </c>
      <c r="AJ75" s="30" t="s">
        <v>824</v>
      </c>
      <c r="AK75" s="30">
        <f>'Material+Limits'!$K$9</f>
        <v>200</v>
      </c>
      <c r="AL75" s="28">
        <v>1200</v>
      </c>
      <c r="AM75" s="30" t="str">
        <f ca="1">CONCATENATE("TIOMOS 110° ",Sprache!$A$201)</f>
        <v>TIOMOS 110° zawias do ramy aluminiowej</v>
      </c>
      <c r="AN75" s="30" t="str">
        <f ca="1">CONCATENATE("1D° ",Sprache!$A$200)</f>
        <v>1D° prowadnik</v>
      </c>
    </row>
    <row r="76" spans="1:48" x14ac:dyDescent="0.25">
      <c r="A76" t="str">
        <f t="shared" ca="1" si="3"/>
        <v/>
      </c>
      <c r="B76" t="str">
        <f t="shared" ca="1" si="2"/>
        <v/>
      </c>
      <c r="C76" s="79">
        <f>IF('Material+Limits'!$P$12=TRUE,1,0)</f>
        <v>0</v>
      </c>
      <c r="D76" s="39">
        <f>IF(Daten!$O76+Daten!$P76+Daten!$R76=3,1,0)</f>
        <v>0</v>
      </c>
      <c r="E76" s="184">
        <f ca="1">IF(AND('Material+Limits'!$Q$21=TRUE,Daten!N76=1)=TRUE,1,0)</f>
        <v>1</v>
      </c>
      <c r="F76" s="185">
        <f ca="1">IF(AND('Material+Limits'!$Q$25=TRUE,Daten!M76=1)=TRUE,1,0)</f>
        <v>0</v>
      </c>
      <c r="G76" s="185">
        <f ca="1">IF(AND('Material+Limits'!$Q$24=TRUE,Daten!L76=1)=TRUE,1,0)</f>
        <v>0</v>
      </c>
      <c r="H76" s="185">
        <f ca="1">IF(AND('Material+Limits'!$Q$23=TRUE,Daten!K76=1)=TRUE,1,0)</f>
        <v>0</v>
      </c>
      <c r="I76" s="185">
        <f ca="1">IF(AND('Material+Limits'!$Q$22=TRUE,Daten!J76=1)=TRUE,1,0)</f>
        <v>0</v>
      </c>
      <c r="J76" s="158">
        <f ca="1">IF(Daten!$U76=13,1,0)</f>
        <v>0</v>
      </c>
      <c r="K76" s="159">
        <f ca="1">IF(Daten!$U76&lt;&gt;Daten!$V76,1,IF(Daten!$U76=14,1,0))</f>
        <v>0</v>
      </c>
      <c r="L76" s="159">
        <f ca="1">IF(Daten!$U76&lt;&gt;Daten!$V76,1,IF(Daten!$U76=16,1,0))</f>
        <v>0</v>
      </c>
      <c r="M76" s="159">
        <f ca="1">IF(Daten!$V76=17,1,0)</f>
        <v>0</v>
      </c>
      <c r="N76" s="160">
        <f ca="1">IF(Daten!$W76=Sprache!$A$60,1,0)</f>
        <v>1</v>
      </c>
      <c r="O76" s="173">
        <f>IF(AND(Daten!$AK76&lt;=KINVARO!$AW$3,Daten!$AL76&gt;=KINVARO!$AW$3)=TRUE,1,0)</f>
        <v>1</v>
      </c>
      <c r="P76" s="174">
        <f>IF(AND(Daten!$Z76&lt;=KINVARO!$AW$4,Daten!$AA76&gt;=KINVARO!$AW$4)=TRUE,1,0)</f>
        <v>0</v>
      </c>
      <c r="Q76" s="174"/>
      <c r="R76" s="174">
        <f>IF(AND(Daten!$AC76&lt;='Material+Limits'!$I$58,Daten!$AD76&gt;='Material+Limits'!$I$58)=TRUE,1,0)</f>
        <v>0</v>
      </c>
      <c r="S76" s="38">
        <f ca="1">IF(Daten!$X76=Sprache!$A$125,1,0)</f>
        <v>1</v>
      </c>
      <c r="T76" s="57" t="str">
        <f ca="1">Sprache!$A$52</f>
        <v>Podnośnik T-105</v>
      </c>
      <c r="U76" s="55">
        <f ca="1">Sprache!$A$64</f>
        <v>0</v>
      </c>
      <c r="V76" s="38">
        <f ca="1">Sprache!$A$64</f>
        <v>0</v>
      </c>
      <c r="W76" s="56" t="str">
        <f ca="1">Sprache!$A$60</f>
        <v>Front lity (drewno/płyta)</v>
      </c>
      <c r="X76" s="25">
        <f ca="1">Sprache!$A$126</f>
        <v>0</v>
      </c>
      <c r="Y76" s="56" t="str">
        <f ca="1">Sprache!$A$69</f>
        <v>Front</v>
      </c>
      <c r="Z76" s="56">
        <v>450</v>
      </c>
      <c r="AA76" s="57">
        <v>500</v>
      </c>
      <c r="AB76" s="56"/>
      <c r="AC76" s="58">
        <v>1.2</v>
      </c>
      <c r="AD76" s="59">
        <v>3</v>
      </c>
      <c r="AE76" s="56" t="s">
        <v>790</v>
      </c>
      <c r="AF76" s="56" t="str">
        <f ca="1">Sprache!$A$102</f>
        <v>Lewy</v>
      </c>
      <c r="AG76" s="56" t="str">
        <f ca="1">Sprache!$A$123</f>
        <v>1 podnośnik T-105</v>
      </c>
      <c r="AH76" s="56" t="str">
        <f ca="1">Sprache!$A$115</f>
        <v>Sprężyna standard</v>
      </c>
      <c r="AI76" s="56" t="str">
        <f ca="1">Sprache!$A$138</f>
        <v>podnośnik T-105 prawy</v>
      </c>
      <c r="AJ76" s="56" t="s">
        <v>821</v>
      </c>
      <c r="AK76" s="56">
        <f>'Material+Limits'!$K$9</f>
        <v>200</v>
      </c>
      <c r="AL76" s="57">
        <v>1200</v>
      </c>
      <c r="AM76" s="30" t="str">
        <f ca="1">CONCATENATE("TIOMOS 110° ",Sprache!$A$88)</f>
        <v>TIOMOS 110° zawias</v>
      </c>
      <c r="AN76" s="30" t="str">
        <f ca="1">CONCATENATE("1D° ",Sprache!$A$200)</f>
        <v>1D° prowadnik</v>
      </c>
      <c r="AO76"/>
      <c r="AR76"/>
      <c r="AS76"/>
      <c r="AT76"/>
      <c r="AU76"/>
      <c r="AV76"/>
    </row>
    <row r="77" spans="1:48" x14ac:dyDescent="0.25">
      <c r="A77" t="str">
        <f t="shared" ca="1" si="3"/>
        <v/>
      </c>
      <c r="B77" t="str">
        <f t="shared" ca="1" si="2"/>
        <v/>
      </c>
      <c r="C77" s="79">
        <f>IF('Material+Limits'!$P$12=TRUE,1,0)</f>
        <v>0</v>
      </c>
      <c r="D77" s="39">
        <f>IF(Daten!$O77+Daten!$P77+Daten!$R77=3,1,0)</f>
        <v>0</v>
      </c>
      <c r="E77" s="184">
        <f ca="1">IF(AND('Material+Limits'!$Q$21=TRUE,Daten!N77=1)=TRUE,1,0)</f>
        <v>1</v>
      </c>
      <c r="F77" s="185">
        <f ca="1">IF(AND('Material+Limits'!$Q$25=TRUE,Daten!M77=1)=TRUE,1,0)</f>
        <v>0</v>
      </c>
      <c r="G77" s="185">
        <f ca="1">IF(AND('Material+Limits'!$Q$24=TRUE,Daten!L77=1)=TRUE,1,0)</f>
        <v>0</v>
      </c>
      <c r="H77" s="185">
        <f ca="1">IF(AND('Material+Limits'!$Q$23=TRUE,Daten!K77=1)=TRUE,1,0)</f>
        <v>0</v>
      </c>
      <c r="I77" s="185">
        <f ca="1">IF(AND('Material+Limits'!$Q$22=TRUE,Daten!J77=1)=TRUE,1,0)</f>
        <v>0</v>
      </c>
      <c r="J77" s="155">
        <f ca="1">IF(Daten!$U77=13,1,0)</f>
        <v>0</v>
      </c>
      <c r="K77" s="156">
        <f ca="1">IF(Daten!$U77&lt;&gt;Daten!$V77,1,IF(Daten!$U77=14,1,0))</f>
        <v>0</v>
      </c>
      <c r="L77" s="156">
        <f ca="1">IF(Daten!$U77&lt;&gt;Daten!$V77,1,IF(Daten!$U77=16,1,0))</f>
        <v>0</v>
      </c>
      <c r="M77" s="156">
        <f ca="1">IF(Daten!$V77=17,1,0)</f>
        <v>0</v>
      </c>
      <c r="N77" s="157">
        <f ca="1">IF(Daten!$W77=Sprache!$A$60,1,0)</f>
        <v>1</v>
      </c>
      <c r="O77" s="169">
        <f>IF(AND(Daten!$AK77&lt;=KINVARO!$AW$3,Daten!$AL77&gt;=KINVARO!$AW$3)=TRUE,1,0)</f>
        <v>1</v>
      </c>
      <c r="P77" s="170">
        <f>IF(AND(Daten!$Z77&lt;=KINVARO!$AW$4,Daten!$AA77&gt;=KINVARO!$AW$4)=TRUE,1,0)</f>
        <v>0</v>
      </c>
      <c r="R77" s="170">
        <f>IF(AND(Daten!$AC77&lt;='Material+Limits'!$I$58,Daten!$AD77&gt;='Material+Limits'!$I$58)=TRUE,1,0)</f>
        <v>0</v>
      </c>
      <c r="S77" s="29">
        <f ca="1">IF(Daten!$X77=Sprache!$A$125,1,0)</f>
        <v>1</v>
      </c>
      <c r="T77" s="28" t="str">
        <f ca="1">Sprache!$A$52</f>
        <v>Podnośnik T-105</v>
      </c>
      <c r="U77" s="32">
        <f ca="1">Sprache!$A$64</f>
        <v>0</v>
      </c>
      <c r="V77" s="29">
        <f ca="1">Sprache!$A$64</f>
        <v>0</v>
      </c>
      <c r="W77" s="30" t="str">
        <f ca="1">Sprache!$A$60</f>
        <v>Front lity (drewno/płyta)</v>
      </c>
      <c r="X77" s="30">
        <f ca="1">Sprache!$A$126</f>
        <v>0</v>
      </c>
      <c r="Y77" s="30" t="str">
        <f ca="1">Sprache!$A$69</f>
        <v>Front</v>
      </c>
      <c r="Z77" s="30">
        <v>450</v>
      </c>
      <c r="AA77" s="28">
        <v>500</v>
      </c>
      <c r="AB77" s="30"/>
      <c r="AC77" s="31">
        <v>1.9</v>
      </c>
      <c r="AD77" s="53">
        <v>3.8</v>
      </c>
      <c r="AE77" s="30" t="s">
        <v>791</v>
      </c>
      <c r="AF77" s="30" t="str">
        <f ca="1">Sprache!$A$102</f>
        <v>Lewy</v>
      </c>
      <c r="AG77" s="30" t="str">
        <f ca="1">Sprache!$A$123</f>
        <v>1 podnośnik T-105</v>
      </c>
      <c r="AH77" s="30" t="str">
        <f ca="1">Sprache!$A$116</f>
        <v>Sprężyna czarna</v>
      </c>
      <c r="AI77" s="30" t="str">
        <f ca="1">Sprache!$A$138</f>
        <v>podnośnik T-105 prawy</v>
      </c>
      <c r="AJ77" s="30" t="s">
        <v>822</v>
      </c>
      <c r="AK77" s="30">
        <f>'Material+Limits'!$K$9</f>
        <v>200</v>
      </c>
      <c r="AL77" s="28">
        <v>1200</v>
      </c>
      <c r="AM77" s="30" t="str">
        <f ca="1">CONCATENATE("TIOMOS 110° ",Sprache!$A$88)</f>
        <v>TIOMOS 110° zawias</v>
      </c>
      <c r="AN77" s="30" t="str">
        <f ca="1">CONCATENATE("1D° ",Sprache!$A$200)</f>
        <v>1D° prowadnik</v>
      </c>
      <c r="AO77"/>
      <c r="AR77"/>
      <c r="AS77"/>
      <c r="AT77"/>
      <c r="AU77"/>
      <c r="AV77"/>
    </row>
    <row r="78" spans="1:48" x14ac:dyDescent="0.25">
      <c r="A78" t="str">
        <f t="shared" ca="1" si="3"/>
        <v/>
      </c>
      <c r="B78" t="str">
        <f t="shared" ca="1" si="2"/>
        <v/>
      </c>
      <c r="C78" s="79">
        <f>IF('Material+Limits'!$P$12=TRUE,1,0)</f>
        <v>0</v>
      </c>
      <c r="D78" s="39">
        <f>IF(Daten!$O78+Daten!$P78+Daten!$R78=3,1,0)</f>
        <v>0</v>
      </c>
      <c r="E78" s="184">
        <f ca="1">IF(AND('Material+Limits'!$Q$21=TRUE,Daten!N78=1)=TRUE,1,0)</f>
        <v>0</v>
      </c>
      <c r="F78" s="185">
        <f>IF(AND('Material+Limits'!$Q$25=TRUE,Daten!M78=1)=TRUE,1,0)</f>
        <v>0</v>
      </c>
      <c r="G78" s="185">
        <f>IF(AND('Material+Limits'!$Q$24=TRUE,Daten!L78=1)=TRUE,1,0)</f>
        <v>0</v>
      </c>
      <c r="H78" s="185">
        <f>IF(AND('Material+Limits'!$Q$23=TRUE,Daten!K78=1)=TRUE,1,0)</f>
        <v>0</v>
      </c>
      <c r="I78" s="185">
        <f>IF(AND('Material+Limits'!$Q$22=TRUE,Daten!J78=1)=TRUE,1,0)</f>
        <v>0</v>
      </c>
      <c r="J78" s="158">
        <f>IF(Daten!$U78=13,1,0)</f>
        <v>0</v>
      </c>
      <c r="K78" s="159">
        <f>IF(Daten!$U78&lt;&gt;Daten!$V78,1,IF(Daten!$U78=14,1,0))</f>
        <v>1</v>
      </c>
      <c r="L78" s="159">
        <f>IF(Daten!$U78&lt;&gt;Daten!$V78,1,IF(Daten!$U78=16,1,0))</f>
        <v>0</v>
      </c>
      <c r="M78" s="159">
        <f>IF(Daten!$V78=17,1,0)</f>
        <v>0</v>
      </c>
      <c r="N78" s="160">
        <f ca="1">IF(Daten!$W78=Sprache!$A$60,1,0)</f>
        <v>0</v>
      </c>
      <c r="O78" s="171">
        <f>IF(AND(Daten!$AK78&lt;=KINVARO!$AW$3,Daten!$AL78&gt;=KINVARO!$AW$3)=TRUE,1,0)</f>
        <v>1</v>
      </c>
      <c r="P78" s="172">
        <f>IF(AND(Daten!$Z78&lt;=KINVARO!$AW$4,Daten!$AA78&gt;=KINVARO!$AW$4)=TRUE,1,0)</f>
        <v>0</v>
      </c>
      <c r="Q78" s="172"/>
      <c r="R78" s="172">
        <f>IF(AND(Daten!$AC78&lt;='Material+Limits'!$I$58,Daten!$AD78&gt;='Material+Limits'!$I$58)=TRUE,1,0)</f>
        <v>0</v>
      </c>
      <c r="S78" s="23">
        <f ca="1">IF(Daten!$X78=Sprache!$A$125,1,0)</f>
        <v>1</v>
      </c>
      <c r="T78" s="24" t="str">
        <f ca="1">Sprache!$A$52</f>
        <v>Podnośnik T-105</v>
      </c>
      <c r="U78" s="27">
        <v>14</v>
      </c>
      <c r="V78" s="23">
        <v>14</v>
      </c>
      <c r="W78" s="25">
        <f ca="1">Sprache!$A$131</f>
        <v>0</v>
      </c>
      <c r="X78" s="25">
        <f ca="1">Sprache!$A$126</f>
        <v>0</v>
      </c>
      <c r="Y78" s="25" t="str">
        <f ca="1">Sprache!$A$69</f>
        <v>Front</v>
      </c>
      <c r="Z78" s="25">
        <v>450</v>
      </c>
      <c r="AA78" s="24">
        <v>500</v>
      </c>
      <c r="AB78" s="25"/>
      <c r="AC78" s="26">
        <v>1.2</v>
      </c>
      <c r="AD78" s="54">
        <v>3</v>
      </c>
      <c r="AE78" s="25" t="s">
        <v>792</v>
      </c>
      <c r="AF78" s="25" t="str">
        <f ca="1">Sprache!$A$102</f>
        <v>Lewy</v>
      </c>
      <c r="AG78" s="25" t="str">
        <f ca="1">Sprache!$A$123</f>
        <v>1 podnośnik T-105</v>
      </c>
      <c r="AH78" s="25" t="str">
        <f ca="1">Sprache!$A$115</f>
        <v>Sprężyna standard</v>
      </c>
      <c r="AI78" s="25" t="str">
        <f ca="1">Sprache!$A$138</f>
        <v>podnośnik T-105 prawy</v>
      </c>
      <c r="AJ78" s="25" t="s">
        <v>823</v>
      </c>
      <c r="AK78" s="25">
        <f>'Material+Limits'!$K$9</f>
        <v>200</v>
      </c>
      <c r="AL78" s="24">
        <v>1200</v>
      </c>
      <c r="AM78" s="30" t="str">
        <f ca="1">CONCATENATE("TIOMOS 110° ",Sprache!$A$201)</f>
        <v>TIOMOS 110° zawias do ramy aluminiowej</v>
      </c>
      <c r="AN78" s="30" t="str">
        <f ca="1">CONCATENATE("1D° ",Sprache!$A$200)</f>
        <v>1D° prowadnik</v>
      </c>
      <c r="AO78"/>
      <c r="AR78"/>
      <c r="AS78"/>
      <c r="AT78"/>
      <c r="AU78"/>
      <c r="AV78"/>
    </row>
    <row r="79" spans="1:48" x14ac:dyDescent="0.25">
      <c r="A79" t="str">
        <f t="shared" ca="1" si="3"/>
        <v/>
      </c>
      <c r="B79" t="str">
        <f t="shared" ca="1" si="2"/>
        <v/>
      </c>
      <c r="C79" s="79">
        <f>IF('Material+Limits'!$P$12=TRUE,1,0)</f>
        <v>0</v>
      </c>
      <c r="D79" s="39">
        <f>IF(Daten!$O79+Daten!$P79+Daten!$R79=3,1,0)</f>
        <v>0</v>
      </c>
      <c r="E79" s="184">
        <f ca="1">IF(AND('Material+Limits'!$Q$21=TRUE,Daten!N79=1)=TRUE,1,0)</f>
        <v>0</v>
      </c>
      <c r="F79" s="185">
        <f>IF(AND('Material+Limits'!$Q$25=TRUE,Daten!M79=1)=TRUE,1,0)</f>
        <v>0</v>
      </c>
      <c r="G79" s="185">
        <f>IF(AND('Material+Limits'!$Q$24=TRUE,Daten!L79=1)=TRUE,1,0)</f>
        <v>0</v>
      </c>
      <c r="H79" s="185">
        <f>IF(AND('Material+Limits'!$Q$23=TRUE,Daten!K79=1)=TRUE,1,0)</f>
        <v>0</v>
      </c>
      <c r="I79" s="185">
        <f>IF(AND('Material+Limits'!$Q$22=TRUE,Daten!J79=1)=TRUE,1,0)</f>
        <v>0</v>
      </c>
      <c r="J79" s="155">
        <f>IF(Daten!$U79=13,1,0)</f>
        <v>0</v>
      </c>
      <c r="K79" s="156">
        <f>IF(Daten!$U79&lt;&gt;Daten!$V79,1,IF(Daten!$U79=14,1,0))</f>
        <v>0</v>
      </c>
      <c r="L79" s="156">
        <f>IF(Daten!$U79&lt;&gt;Daten!$V79,1,IF(Daten!$U79=16,1,0))</f>
        <v>1</v>
      </c>
      <c r="M79" s="156">
        <f>IF(Daten!$V79=17,1,0)</f>
        <v>0</v>
      </c>
      <c r="N79" s="157">
        <f ca="1">IF(Daten!$W79=Sprache!$A$60,1,0)</f>
        <v>0</v>
      </c>
      <c r="O79" s="169">
        <f>IF(AND(Daten!$AK79&lt;=KINVARO!$AW$3,Daten!$AL79&gt;=KINVARO!$AW$3)=TRUE,1,0)</f>
        <v>1</v>
      </c>
      <c r="P79" s="170">
        <f>IF(AND(Daten!$Z79&lt;=KINVARO!$AW$4,Daten!$AA79&gt;=KINVARO!$AW$4)=TRUE,1,0)</f>
        <v>0</v>
      </c>
      <c r="R79" s="170">
        <f>IF(AND(Daten!$AC79&lt;='Material+Limits'!$I$58,Daten!$AD79&gt;='Material+Limits'!$I$58)=TRUE,1,0)</f>
        <v>0</v>
      </c>
      <c r="S79" s="29">
        <f ca="1">IF(Daten!$X79=Sprache!$A$125,1,0)</f>
        <v>1</v>
      </c>
      <c r="T79" s="28" t="str">
        <f ca="1">Sprache!$A$52</f>
        <v>Podnośnik T-105</v>
      </c>
      <c r="U79" s="32">
        <v>16</v>
      </c>
      <c r="V79" s="29">
        <v>16</v>
      </c>
      <c r="W79" s="30">
        <f ca="1">Sprache!$A$131</f>
        <v>0</v>
      </c>
      <c r="X79" s="30">
        <f ca="1">Sprache!$A$126</f>
        <v>0</v>
      </c>
      <c r="Y79" s="30" t="str">
        <f ca="1">Sprache!$A$69</f>
        <v>Front</v>
      </c>
      <c r="Z79" s="30">
        <v>450</v>
      </c>
      <c r="AA79" s="28">
        <v>500</v>
      </c>
      <c r="AB79" s="30"/>
      <c r="AC79" s="31">
        <v>1.2</v>
      </c>
      <c r="AD79" s="53">
        <v>3</v>
      </c>
      <c r="AE79" s="30" t="s">
        <v>793</v>
      </c>
      <c r="AF79" s="30" t="str">
        <f ca="1">Sprache!$A$102</f>
        <v>Lewy</v>
      </c>
      <c r="AG79" s="30" t="str">
        <f ca="1">Sprache!$A$123</f>
        <v>1 podnośnik T-105</v>
      </c>
      <c r="AH79" s="30" t="str">
        <f ca="1">Sprache!$A$115</f>
        <v>Sprężyna standard</v>
      </c>
      <c r="AI79" s="30" t="str">
        <f ca="1">Sprache!$A$138</f>
        <v>podnośnik T-105 prawy</v>
      </c>
      <c r="AJ79" s="30" t="s">
        <v>824</v>
      </c>
      <c r="AK79" s="30">
        <f>'Material+Limits'!$K$9</f>
        <v>200</v>
      </c>
      <c r="AL79" s="28">
        <v>1200</v>
      </c>
      <c r="AM79" s="30" t="str">
        <f ca="1">CONCATENATE("TIOMOS 110° ",Sprache!$A$201)</f>
        <v>TIOMOS 110° zawias do ramy aluminiowej</v>
      </c>
      <c r="AN79" s="30" t="str">
        <f ca="1">CONCATENATE("1D° ",Sprache!$A$200)</f>
        <v>1D° prowadnik</v>
      </c>
      <c r="AO79"/>
      <c r="AR79"/>
      <c r="AS79"/>
      <c r="AT79"/>
      <c r="AU79"/>
      <c r="AV79"/>
    </row>
    <row r="80" spans="1:48" x14ac:dyDescent="0.25">
      <c r="A80" t="str">
        <f t="shared" ca="1" si="3"/>
        <v/>
      </c>
      <c r="B80" t="str">
        <f t="shared" ca="1" si="2"/>
        <v/>
      </c>
      <c r="C80" s="79">
        <f>IF('Material+Limits'!$P$12=TRUE,1,0)</f>
        <v>0</v>
      </c>
      <c r="D80" s="39">
        <f>IF(Daten!$O80+Daten!$P80+Daten!$R80=3,1,0)</f>
        <v>0</v>
      </c>
      <c r="E80" s="184">
        <f ca="1">IF(AND('Material+Limits'!$Q$21=TRUE,Daten!N80=1)=TRUE,1,0)</f>
        <v>1</v>
      </c>
      <c r="F80" s="185">
        <f ca="1">IF(AND('Material+Limits'!$Q$25=TRUE,Daten!M80=1)=TRUE,1,0)</f>
        <v>0</v>
      </c>
      <c r="G80" s="185">
        <f ca="1">IF(AND('Material+Limits'!$Q$24=TRUE,Daten!L80=1)=TRUE,1,0)</f>
        <v>0</v>
      </c>
      <c r="H80" s="185">
        <f ca="1">IF(AND('Material+Limits'!$Q$23=TRUE,Daten!K80=1)=TRUE,1,0)</f>
        <v>0</v>
      </c>
      <c r="I80" s="185">
        <f ca="1">IF(AND('Material+Limits'!$Q$22=TRUE,Daten!J80=1)=TRUE,1,0)</f>
        <v>0</v>
      </c>
      <c r="J80" s="158">
        <f ca="1">IF(Daten!$U80=13,1,0)</f>
        <v>0</v>
      </c>
      <c r="K80" s="159">
        <f ca="1">IF(Daten!$U80&lt;&gt;Daten!$V80,1,IF(Daten!$U80=14,1,0))</f>
        <v>0</v>
      </c>
      <c r="L80" s="159">
        <f ca="1">IF(Daten!$U80&lt;&gt;Daten!$V80,1,IF(Daten!$U80=16,1,0))</f>
        <v>0</v>
      </c>
      <c r="M80" s="159">
        <f ca="1">IF(Daten!$V80=17,1,0)</f>
        <v>0</v>
      </c>
      <c r="N80" s="160">
        <f ca="1">IF(Daten!$W80=Sprache!$A$60,1,0)</f>
        <v>1</v>
      </c>
      <c r="O80" s="171">
        <f>IF(AND(Daten!$AK80&lt;=KINVARO!$AW$3,Daten!$AL80&gt;=KINVARO!$AW$3)=TRUE,1,0)</f>
        <v>1</v>
      </c>
      <c r="P80" s="172">
        <f>IF(AND(Daten!$Z80&lt;=KINVARO!$AW$4,Daten!$AA80&gt;=KINVARO!$AW$4)=TRUE,1,0)</f>
        <v>0</v>
      </c>
      <c r="Q80" s="172"/>
      <c r="R80" s="172">
        <f>IF(AND(Daten!$AC80&lt;='Material+Limits'!$I$58,Daten!$AD80&gt;='Material+Limits'!$I$58)=TRUE,1,0)</f>
        <v>0</v>
      </c>
      <c r="S80" s="23">
        <f ca="1">IF(Daten!$X80=Sprache!$A$125,1,0)</f>
        <v>1</v>
      </c>
      <c r="T80" s="24" t="str">
        <f ca="1">Sprache!$A$52</f>
        <v>Podnośnik T-105</v>
      </c>
      <c r="U80" s="27">
        <f ca="1">Sprache!$A$64</f>
        <v>0</v>
      </c>
      <c r="V80" s="23">
        <f ca="1">Sprache!$A$64</f>
        <v>0</v>
      </c>
      <c r="W80" s="25" t="str">
        <f ca="1">Sprache!$A$60</f>
        <v>Front lity (drewno/płyta)</v>
      </c>
      <c r="X80" s="25">
        <f ca="1">Sprache!$A$126</f>
        <v>0</v>
      </c>
      <c r="Y80" s="25" t="str">
        <f ca="1">Sprache!$A$69</f>
        <v>Front</v>
      </c>
      <c r="Z80" s="25">
        <v>450</v>
      </c>
      <c r="AA80" s="24">
        <v>500</v>
      </c>
      <c r="AB80" s="25"/>
      <c r="AC80" s="26">
        <v>2.4</v>
      </c>
      <c r="AD80" s="54">
        <v>6.1</v>
      </c>
      <c r="AE80" s="25" t="s">
        <v>790</v>
      </c>
      <c r="AF80" s="25" t="str">
        <f ca="1">Sprache!$A$102</f>
        <v>Lewy</v>
      </c>
      <c r="AG80" s="25" t="str">
        <f ca="1">Sprache!$A$124</f>
        <v>2 podnośniki T-105</v>
      </c>
      <c r="AH80" s="25" t="str">
        <f ca="1">Sprache!$A$115</f>
        <v>Sprężyna standard</v>
      </c>
      <c r="AI80" s="25" t="str">
        <f ca="1">Sprache!$A$138</f>
        <v>podnośnik T-105 prawy</v>
      </c>
      <c r="AJ80" s="25" t="s">
        <v>821</v>
      </c>
      <c r="AK80" s="25">
        <f>'Material+Limits'!$K$9</f>
        <v>200</v>
      </c>
      <c r="AL80" s="24">
        <v>1200</v>
      </c>
      <c r="AM80" s="30" t="str">
        <f ca="1">CONCATENATE("TIOMOS 110° ",Sprache!$A$88)</f>
        <v>TIOMOS 110° zawias</v>
      </c>
      <c r="AN80" s="30" t="str">
        <f ca="1">CONCATENATE("1D° ",Sprache!$A$200)</f>
        <v>1D° prowadnik</v>
      </c>
      <c r="AO80"/>
      <c r="AR80"/>
      <c r="AS80"/>
      <c r="AT80"/>
      <c r="AU80"/>
      <c r="AV80"/>
    </row>
    <row r="81" spans="1:48" x14ac:dyDescent="0.25">
      <c r="A81" t="str">
        <f t="shared" ca="1" si="3"/>
        <v/>
      </c>
      <c r="B81" t="str">
        <f t="shared" ca="1" si="2"/>
        <v/>
      </c>
      <c r="C81" s="79">
        <f>IF('Material+Limits'!$P$12=TRUE,1,0)</f>
        <v>0</v>
      </c>
      <c r="D81" s="39">
        <f>IF(Daten!$O81+Daten!$P81+Daten!$R81=3,1,0)</f>
        <v>0</v>
      </c>
      <c r="E81" s="184">
        <f ca="1">IF(AND('Material+Limits'!$Q$21=TRUE,Daten!N81=1)=TRUE,1,0)</f>
        <v>1</v>
      </c>
      <c r="F81" s="185">
        <f ca="1">IF(AND('Material+Limits'!$Q$25=TRUE,Daten!M81=1)=TRUE,1,0)</f>
        <v>0</v>
      </c>
      <c r="G81" s="185">
        <f ca="1">IF(AND('Material+Limits'!$Q$24=TRUE,Daten!L81=1)=TRUE,1,0)</f>
        <v>0</v>
      </c>
      <c r="H81" s="185">
        <f ca="1">IF(AND('Material+Limits'!$Q$23=TRUE,Daten!K81=1)=TRUE,1,0)</f>
        <v>0</v>
      </c>
      <c r="I81" s="185">
        <f ca="1">IF(AND('Material+Limits'!$Q$22=TRUE,Daten!J81=1)=TRUE,1,0)</f>
        <v>0</v>
      </c>
      <c r="J81" s="155">
        <f ca="1">IF(Daten!$U81=13,1,0)</f>
        <v>0</v>
      </c>
      <c r="K81" s="156">
        <f ca="1">IF(Daten!$U81&lt;&gt;Daten!$V81,1,IF(Daten!$U81=14,1,0))</f>
        <v>0</v>
      </c>
      <c r="L81" s="156">
        <f ca="1">IF(Daten!$U81&lt;&gt;Daten!$V81,1,IF(Daten!$U81=16,1,0))</f>
        <v>0</v>
      </c>
      <c r="M81" s="156">
        <f ca="1">IF(Daten!$V81=17,1,0)</f>
        <v>0</v>
      </c>
      <c r="N81" s="157">
        <f ca="1">IF(Daten!$W81=Sprache!$A$60,1,0)</f>
        <v>1</v>
      </c>
      <c r="O81" s="169">
        <f>IF(AND(Daten!$AK81&lt;=KINVARO!$AW$3,Daten!$AL81&gt;=KINVARO!$AW$3)=TRUE,1,0)</f>
        <v>1</v>
      </c>
      <c r="P81" s="170">
        <f>IF(AND(Daten!$Z81&lt;=KINVARO!$AW$4,Daten!$AA81&gt;=KINVARO!$AW$4)=TRUE,1,0)</f>
        <v>0</v>
      </c>
      <c r="R81" s="170">
        <f>IF(AND(Daten!$AC81&lt;='Material+Limits'!$I$58,Daten!$AD81&gt;='Material+Limits'!$I$58)=TRUE,1,0)</f>
        <v>1</v>
      </c>
      <c r="S81" s="29">
        <f ca="1">IF(Daten!$X81=Sprache!$A$125,1,0)</f>
        <v>1</v>
      </c>
      <c r="T81" s="28" t="str">
        <f ca="1">Sprache!$A$52</f>
        <v>Podnośnik T-105</v>
      </c>
      <c r="U81" s="32">
        <f ca="1">Sprache!$A$64</f>
        <v>0</v>
      </c>
      <c r="V81" s="29">
        <f ca="1">Sprache!$A$64</f>
        <v>0</v>
      </c>
      <c r="W81" s="30" t="str">
        <f ca="1">Sprache!$A$60</f>
        <v>Front lity (drewno/płyta)</v>
      </c>
      <c r="X81" s="30">
        <f ca="1">Sprache!$A$126</f>
        <v>0</v>
      </c>
      <c r="Y81" s="30" t="str">
        <f ca="1">Sprache!$A$69</f>
        <v>Front</v>
      </c>
      <c r="Z81" s="30">
        <v>450</v>
      </c>
      <c r="AA81" s="28">
        <v>500</v>
      </c>
      <c r="AB81" s="30"/>
      <c r="AC81" s="31">
        <v>3.8</v>
      </c>
      <c r="AD81" s="53">
        <v>7.4</v>
      </c>
      <c r="AE81" s="30" t="s">
        <v>791</v>
      </c>
      <c r="AF81" s="30" t="str">
        <f ca="1">Sprache!$A$102</f>
        <v>Lewy</v>
      </c>
      <c r="AG81" s="30" t="str">
        <f ca="1">Sprache!$A$124</f>
        <v>2 podnośniki T-105</v>
      </c>
      <c r="AH81" s="30" t="str">
        <f ca="1">Sprache!$A$116</f>
        <v>Sprężyna czarna</v>
      </c>
      <c r="AI81" s="30" t="str">
        <f ca="1">Sprache!$A$138</f>
        <v>podnośnik T-105 prawy</v>
      </c>
      <c r="AJ81" s="30" t="s">
        <v>822</v>
      </c>
      <c r="AK81" s="30">
        <f>'Material+Limits'!$K$9</f>
        <v>200</v>
      </c>
      <c r="AL81" s="28">
        <v>1200</v>
      </c>
      <c r="AM81" s="30" t="str">
        <f ca="1">CONCATENATE("TIOMOS 110° ",Sprache!$A$88)</f>
        <v>TIOMOS 110° zawias</v>
      </c>
      <c r="AN81" s="30" t="str">
        <f ca="1">CONCATENATE("1D° ",Sprache!$A$200)</f>
        <v>1D° prowadnik</v>
      </c>
      <c r="AO81"/>
      <c r="AR81"/>
      <c r="AS81"/>
      <c r="AT81"/>
      <c r="AU81"/>
      <c r="AV81"/>
    </row>
    <row r="82" spans="1:48" x14ac:dyDescent="0.25">
      <c r="A82" t="str">
        <f t="shared" ca="1" si="3"/>
        <v/>
      </c>
      <c r="B82" t="str">
        <f t="shared" ca="1" si="2"/>
        <v/>
      </c>
      <c r="C82" s="79">
        <f>IF('Material+Limits'!$P$12=TRUE,1,0)</f>
        <v>0</v>
      </c>
      <c r="D82" s="39">
        <f>IF(Daten!$O82+Daten!$P82+Daten!$R82=3,1,0)</f>
        <v>0</v>
      </c>
      <c r="E82" s="184">
        <f ca="1">IF(AND('Material+Limits'!$Q$21=TRUE,Daten!N82=1)=TRUE,1,0)</f>
        <v>0</v>
      </c>
      <c r="F82" s="185">
        <f>IF(AND('Material+Limits'!$Q$25=TRUE,Daten!M82=1)=TRUE,1,0)</f>
        <v>0</v>
      </c>
      <c r="G82" s="185">
        <f>IF(AND('Material+Limits'!$Q$24=TRUE,Daten!L82=1)=TRUE,1,0)</f>
        <v>0</v>
      </c>
      <c r="H82" s="185">
        <f>IF(AND('Material+Limits'!$Q$23=TRUE,Daten!K82=1)=TRUE,1,0)</f>
        <v>0</v>
      </c>
      <c r="I82" s="185">
        <f>IF(AND('Material+Limits'!$Q$22=TRUE,Daten!J82=1)=TRUE,1,0)</f>
        <v>0</v>
      </c>
      <c r="J82" s="158">
        <f>IF(Daten!$U82=13,1,0)</f>
        <v>0</v>
      </c>
      <c r="K82" s="159">
        <f>IF(Daten!$U82&lt;&gt;Daten!$V82,1,IF(Daten!$U82=14,1,0))</f>
        <v>1</v>
      </c>
      <c r="L82" s="159">
        <f>IF(Daten!$U82&lt;&gt;Daten!$V82,1,IF(Daten!$U82=16,1,0))</f>
        <v>0</v>
      </c>
      <c r="M82" s="159">
        <f>IF(Daten!$V82=17,1,0)</f>
        <v>0</v>
      </c>
      <c r="N82" s="160">
        <f ca="1">IF(Daten!$W82=Sprache!$A$60,1,0)</f>
        <v>0</v>
      </c>
      <c r="O82" s="171">
        <f>IF(AND(Daten!$AK82&lt;=KINVARO!$AW$3,Daten!$AL82&gt;=KINVARO!$AW$3)=TRUE,1,0)</f>
        <v>1</v>
      </c>
      <c r="P82" s="172">
        <f>IF(AND(Daten!$Z82&lt;=KINVARO!$AW$4,Daten!$AA82&gt;=KINVARO!$AW$4)=TRUE,1,0)</f>
        <v>0</v>
      </c>
      <c r="Q82" s="172"/>
      <c r="R82" s="172">
        <f>IF(AND(Daten!$AC82&lt;='Material+Limits'!$I$58,Daten!$AD82&gt;='Material+Limits'!$I$58)=TRUE,1,0)</f>
        <v>0</v>
      </c>
      <c r="S82" s="23">
        <f ca="1">IF(Daten!$X82=Sprache!$A$125,1,0)</f>
        <v>1</v>
      </c>
      <c r="T82" s="24" t="str">
        <f ca="1">Sprache!$A$52</f>
        <v>Podnośnik T-105</v>
      </c>
      <c r="U82" s="27">
        <v>14</v>
      </c>
      <c r="V82" s="23">
        <v>14</v>
      </c>
      <c r="W82" s="25">
        <f ca="1">Sprache!$A$131</f>
        <v>0</v>
      </c>
      <c r="X82" s="25">
        <f ca="1">Sprache!$A$126</f>
        <v>0</v>
      </c>
      <c r="Y82" s="25" t="str">
        <f ca="1">Sprache!$A$69</f>
        <v>Front</v>
      </c>
      <c r="Z82" s="25">
        <v>450</v>
      </c>
      <c r="AA82" s="24">
        <v>500</v>
      </c>
      <c r="AB82" s="25"/>
      <c r="AC82" s="26">
        <v>2.4</v>
      </c>
      <c r="AD82" s="54">
        <v>6.1</v>
      </c>
      <c r="AE82" s="25" t="s">
        <v>792</v>
      </c>
      <c r="AF82" s="25" t="str">
        <f ca="1">Sprache!$A$102</f>
        <v>Lewy</v>
      </c>
      <c r="AG82" s="25" t="str">
        <f ca="1">Sprache!$A$124</f>
        <v>2 podnośniki T-105</v>
      </c>
      <c r="AH82" s="25" t="str">
        <f ca="1">Sprache!$A$115</f>
        <v>Sprężyna standard</v>
      </c>
      <c r="AI82" s="25" t="str">
        <f ca="1">Sprache!$A$138</f>
        <v>podnośnik T-105 prawy</v>
      </c>
      <c r="AJ82" s="25" t="s">
        <v>823</v>
      </c>
      <c r="AK82" s="25">
        <f>'Material+Limits'!$K$9</f>
        <v>200</v>
      </c>
      <c r="AL82" s="24">
        <v>1200</v>
      </c>
      <c r="AM82" s="30" t="str">
        <f ca="1">CONCATENATE("TIOMOS 110° ",Sprache!$A$201)</f>
        <v>TIOMOS 110° zawias do ramy aluminiowej</v>
      </c>
      <c r="AN82" s="30" t="str">
        <f ca="1">CONCATENATE("1D° ",Sprache!$A$200)</f>
        <v>1D° prowadnik</v>
      </c>
      <c r="AO82"/>
      <c r="AR82"/>
      <c r="AS82"/>
      <c r="AT82"/>
      <c r="AU82"/>
      <c r="AV82"/>
    </row>
    <row r="83" spans="1:48" s="5" customFormat="1" x14ac:dyDescent="0.25">
      <c r="A83" t="str">
        <f t="shared" ca="1" si="3"/>
        <v/>
      </c>
      <c r="B83" t="str">
        <f t="shared" ca="1" si="2"/>
        <v/>
      </c>
      <c r="C83" s="79">
        <f>IF('Material+Limits'!$P$12=TRUE,1,0)</f>
        <v>0</v>
      </c>
      <c r="D83" s="39">
        <f>IF(Daten!$O83+Daten!$P83+Daten!$R83=3,1,0)</f>
        <v>0</v>
      </c>
      <c r="E83" s="184">
        <f ca="1">IF(AND('Material+Limits'!$Q$21=TRUE,Daten!N83=1)=TRUE,1,0)</f>
        <v>0</v>
      </c>
      <c r="F83" s="185">
        <f>IF(AND('Material+Limits'!$Q$25=TRUE,Daten!M83=1)=TRUE,1,0)</f>
        <v>0</v>
      </c>
      <c r="G83" s="185">
        <f>IF(AND('Material+Limits'!$Q$24=TRUE,Daten!L83=1)=TRUE,1,0)</f>
        <v>0</v>
      </c>
      <c r="H83" s="185">
        <f>IF(AND('Material+Limits'!$Q$23=TRUE,Daten!K83=1)=TRUE,1,0)</f>
        <v>0</v>
      </c>
      <c r="I83" s="185">
        <f>IF(AND('Material+Limits'!$Q$22=TRUE,Daten!J83=1)=TRUE,1,0)</f>
        <v>0</v>
      </c>
      <c r="J83" s="155">
        <f>IF(Daten!$U83=13,1,0)</f>
        <v>0</v>
      </c>
      <c r="K83" s="156">
        <f>IF(Daten!$U83&lt;&gt;Daten!$V83,1,IF(Daten!$U83=14,1,0))</f>
        <v>0</v>
      </c>
      <c r="L83" s="156">
        <f>IF(Daten!$U83&lt;&gt;Daten!$V83,1,IF(Daten!$U83=16,1,0))</f>
        <v>1</v>
      </c>
      <c r="M83" s="156">
        <f>IF(Daten!$V83=17,1,0)</f>
        <v>0</v>
      </c>
      <c r="N83" s="157">
        <f ca="1">IF(Daten!$W83=Sprache!$A$60,1,0)</f>
        <v>0</v>
      </c>
      <c r="O83" s="169">
        <f>IF(AND(Daten!$AK83&lt;=KINVARO!$AW$3,Daten!$AL83&gt;=KINVARO!$AW$3)=TRUE,1,0)</f>
        <v>1</v>
      </c>
      <c r="P83" s="170">
        <f>IF(AND(Daten!$Z83&lt;=KINVARO!$AW$4,Daten!$AA83&gt;=KINVARO!$AW$4)=TRUE,1,0)</f>
        <v>0</v>
      </c>
      <c r="Q83" s="170"/>
      <c r="R83" s="170">
        <f>IF(AND(Daten!$AC83&lt;='Material+Limits'!$I$58,Daten!$AD83&gt;='Material+Limits'!$I$58)=TRUE,1,0)</f>
        <v>0</v>
      </c>
      <c r="S83" s="29">
        <f ca="1">IF(Daten!$X83=Sprache!$A$125,1,0)</f>
        <v>1</v>
      </c>
      <c r="T83" s="28" t="str">
        <f ca="1">Sprache!$A$52</f>
        <v>Podnośnik T-105</v>
      </c>
      <c r="U83" s="32">
        <v>16</v>
      </c>
      <c r="V83" s="29">
        <v>16</v>
      </c>
      <c r="W83" s="30">
        <f ca="1">Sprache!$A$131</f>
        <v>0</v>
      </c>
      <c r="X83" s="30">
        <f ca="1">Sprache!$A$126</f>
        <v>0</v>
      </c>
      <c r="Y83" s="30" t="str">
        <f ca="1">Sprache!$A$69</f>
        <v>Front</v>
      </c>
      <c r="Z83" s="30">
        <v>450</v>
      </c>
      <c r="AA83" s="28">
        <v>500</v>
      </c>
      <c r="AB83" s="30"/>
      <c r="AC83" s="31">
        <v>2.4</v>
      </c>
      <c r="AD83" s="53">
        <v>6.1</v>
      </c>
      <c r="AE83" s="30" t="s">
        <v>793</v>
      </c>
      <c r="AF83" s="30" t="str">
        <f ca="1">Sprache!$A$102</f>
        <v>Lewy</v>
      </c>
      <c r="AG83" s="30" t="str">
        <f ca="1">Sprache!$A$124</f>
        <v>2 podnośniki T-105</v>
      </c>
      <c r="AH83" s="30" t="str">
        <f ca="1">Sprache!$A$115</f>
        <v>Sprężyna standard</v>
      </c>
      <c r="AI83" s="30" t="str">
        <f ca="1">Sprache!$A$138</f>
        <v>podnośnik T-105 prawy</v>
      </c>
      <c r="AJ83" s="30" t="s">
        <v>824</v>
      </c>
      <c r="AK83" s="30">
        <f>'Material+Limits'!$K$9</f>
        <v>200</v>
      </c>
      <c r="AL83" s="28">
        <v>1200</v>
      </c>
      <c r="AM83" s="30" t="str">
        <f ca="1">CONCATENATE("TIOMOS 110° ",Sprache!$A$201)</f>
        <v>TIOMOS 110° zawias do ramy aluminiowej</v>
      </c>
      <c r="AN83" s="30" t="str">
        <f ca="1">CONCATENATE("1D° ",Sprache!$A$200)</f>
        <v>1D° prowadnik</v>
      </c>
    </row>
    <row r="84" spans="1:48" x14ac:dyDescent="0.25">
      <c r="A84" t="str">
        <f t="shared" ca="1" si="3"/>
        <v/>
      </c>
      <c r="B84" t="str">
        <f t="shared" ca="1" si="2"/>
        <v/>
      </c>
      <c r="C84" s="79">
        <f>IF('Material+Limits'!$P$12=TRUE,1,0)</f>
        <v>0</v>
      </c>
      <c r="D84" s="39">
        <f>IF(Daten!$O84+Daten!$P84+Daten!$R84=3,1,0)</f>
        <v>0</v>
      </c>
      <c r="E84" s="184">
        <f ca="1">IF(AND('Material+Limits'!$Q$21=TRUE,Daten!N84=1)=TRUE,1,0)</f>
        <v>1</v>
      </c>
      <c r="F84" s="185">
        <f ca="1">IF(AND('Material+Limits'!$Q$25=TRUE,Daten!M84=1)=TRUE,1,0)</f>
        <v>0</v>
      </c>
      <c r="G84" s="185">
        <f ca="1">IF(AND('Material+Limits'!$Q$24=TRUE,Daten!L84=1)=TRUE,1,0)</f>
        <v>0</v>
      </c>
      <c r="H84" s="185">
        <f ca="1">IF(AND('Material+Limits'!$Q$23=TRUE,Daten!K84=1)=TRUE,1,0)</f>
        <v>0</v>
      </c>
      <c r="I84" s="185">
        <f ca="1">IF(AND('Material+Limits'!$Q$22=TRUE,Daten!J84=1)=TRUE,1,0)</f>
        <v>0</v>
      </c>
      <c r="J84" s="158">
        <f ca="1">IF(Daten!$U84=13,1,0)</f>
        <v>0</v>
      </c>
      <c r="K84" s="159">
        <f ca="1">IF(Daten!$U84&lt;&gt;Daten!$V84,1,IF(Daten!$U84=14,1,0))</f>
        <v>0</v>
      </c>
      <c r="L84" s="159">
        <f ca="1">IF(Daten!$U84&lt;&gt;Daten!$V84,1,IF(Daten!$U84=16,1,0))</f>
        <v>0</v>
      </c>
      <c r="M84" s="159">
        <f ca="1">IF(Daten!$V84=17,1,0)</f>
        <v>0</v>
      </c>
      <c r="N84" s="160">
        <f ca="1">IF(Daten!$W84=Sprache!$A$60,1,0)</f>
        <v>1</v>
      </c>
      <c r="O84" s="173">
        <f>IF(AND(Daten!$AK84&lt;=KINVARO!$AW$3,Daten!$AL84&gt;=KINVARO!$AW$3)=TRUE,1,0)</f>
        <v>1</v>
      </c>
      <c r="P84" s="174">
        <f>IF(AND(Daten!$Z84&lt;=KINVARO!$AW$4,Daten!$AA84&gt;=KINVARO!$AW$4)=TRUE,1,0)</f>
        <v>0</v>
      </c>
      <c r="Q84" s="174"/>
      <c r="R84" s="174">
        <f>IF(AND(Daten!$AC84&lt;='Material+Limits'!$I$58,Daten!$AD84&gt;='Material+Limits'!$I$58)=TRUE,1,0)</f>
        <v>0</v>
      </c>
      <c r="S84" s="38">
        <f ca="1">IF(Daten!$X84=Sprache!$A$125,1,0)</f>
        <v>1</v>
      </c>
      <c r="T84" s="57" t="str">
        <f ca="1">Sprache!$A$52</f>
        <v>Podnośnik T-105</v>
      </c>
      <c r="U84" s="55">
        <f ca="1">Sprache!$A$64</f>
        <v>0</v>
      </c>
      <c r="V84" s="38">
        <f ca="1">Sprache!$A$64</f>
        <v>0</v>
      </c>
      <c r="W84" s="56" t="str">
        <f ca="1">Sprache!$A$60</f>
        <v>Front lity (drewno/płyta)</v>
      </c>
      <c r="X84" s="25">
        <f ca="1">Sprache!$A$126</f>
        <v>0</v>
      </c>
      <c r="Y84" s="56" t="str">
        <f ca="1">Sprache!$A$69</f>
        <v>Front</v>
      </c>
      <c r="Z84" s="56">
        <v>500</v>
      </c>
      <c r="AA84" s="57">
        <v>500</v>
      </c>
      <c r="AB84" s="56"/>
      <c r="AC84" s="58">
        <v>1.1000000000000001</v>
      </c>
      <c r="AD84" s="59">
        <v>2.9</v>
      </c>
      <c r="AE84" s="56" t="s">
        <v>790</v>
      </c>
      <c r="AF84" s="56" t="str">
        <f ca="1">Sprache!$A$102</f>
        <v>Lewy</v>
      </c>
      <c r="AG84" s="56" t="str">
        <f ca="1">Sprache!$A$123</f>
        <v>1 podnośnik T-105</v>
      </c>
      <c r="AH84" s="56" t="str">
        <f ca="1">Sprache!$A$115</f>
        <v>Sprężyna standard</v>
      </c>
      <c r="AI84" s="56" t="str">
        <f ca="1">Sprache!$A$138</f>
        <v>podnośnik T-105 prawy</v>
      </c>
      <c r="AJ84" s="56" t="s">
        <v>821</v>
      </c>
      <c r="AK84" s="56">
        <f>'Material+Limits'!$K$9</f>
        <v>200</v>
      </c>
      <c r="AL84" s="57">
        <v>1200</v>
      </c>
      <c r="AM84" s="30" t="str">
        <f ca="1">CONCATENATE("TIOMOS 110° ",Sprache!$A$88)</f>
        <v>TIOMOS 110° zawias</v>
      </c>
      <c r="AN84" s="30" t="str">
        <f ca="1">CONCATENATE("1D° ",Sprache!$A$200)</f>
        <v>1D° prowadnik</v>
      </c>
      <c r="AO84"/>
      <c r="AR84"/>
      <c r="AS84"/>
      <c r="AT84"/>
      <c r="AU84"/>
      <c r="AV84"/>
    </row>
    <row r="85" spans="1:48" x14ac:dyDescent="0.25">
      <c r="A85" t="str">
        <f t="shared" ca="1" si="3"/>
        <v/>
      </c>
      <c r="B85" t="str">
        <f t="shared" ca="1" si="2"/>
        <v/>
      </c>
      <c r="C85" s="79">
        <f>IF('Material+Limits'!$P$12=TRUE,1,0)</f>
        <v>0</v>
      </c>
      <c r="D85" s="39">
        <f>IF(Daten!$O85+Daten!$P85+Daten!$R85=3,1,0)</f>
        <v>0</v>
      </c>
      <c r="E85" s="184">
        <f ca="1">IF(AND('Material+Limits'!$Q$21=TRUE,Daten!N85=1)=TRUE,1,0)</f>
        <v>1</v>
      </c>
      <c r="F85" s="185">
        <f ca="1">IF(AND('Material+Limits'!$Q$25=TRUE,Daten!M85=1)=TRUE,1,0)</f>
        <v>0</v>
      </c>
      <c r="G85" s="185">
        <f ca="1">IF(AND('Material+Limits'!$Q$24=TRUE,Daten!L85=1)=TRUE,1,0)</f>
        <v>0</v>
      </c>
      <c r="H85" s="185">
        <f ca="1">IF(AND('Material+Limits'!$Q$23=TRUE,Daten!K85=1)=TRUE,1,0)</f>
        <v>0</v>
      </c>
      <c r="I85" s="185">
        <f ca="1">IF(AND('Material+Limits'!$Q$22=TRUE,Daten!J85=1)=TRUE,1,0)</f>
        <v>0</v>
      </c>
      <c r="J85" s="155">
        <f ca="1">IF(Daten!$U85=13,1,0)</f>
        <v>0</v>
      </c>
      <c r="K85" s="156">
        <f ca="1">IF(Daten!$U85&lt;&gt;Daten!$V85,1,IF(Daten!$U85=14,1,0))</f>
        <v>0</v>
      </c>
      <c r="L85" s="156">
        <f ca="1">IF(Daten!$U85&lt;&gt;Daten!$V85,1,IF(Daten!$U85=16,1,0))</f>
        <v>0</v>
      </c>
      <c r="M85" s="156">
        <f ca="1">IF(Daten!$V85=17,1,0)</f>
        <v>0</v>
      </c>
      <c r="N85" s="157">
        <f ca="1">IF(Daten!$W85=Sprache!$A$60,1,0)</f>
        <v>1</v>
      </c>
      <c r="O85" s="169">
        <f>IF(AND(Daten!$AK85&lt;=KINVARO!$AW$3,Daten!$AL85&gt;=KINVARO!$AW$3)=TRUE,1,0)</f>
        <v>1</v>
      </c>
      <c r="P85" s="170">
        <f>IF(AND(Daten!$Z85&lt;=KINVARO!$AW$4,Daten!$AA85&gt;=KINVARO!$AW$4)=TRUE,1,0)</f>
        <v>0</v>
      </c>
      <c r="R85" s="170">
        <f>IF(AND(Daten!$AC85&lt;='Material+Limits'!$I$58,Daten!$AD85&gt;='Material+Limits'!$I$58)=TRUE,1,0)</f>
        <v>0</v>
      </c>
      <c r="S85" s="29">
        <f ca="1">IF(Daten!$X85=Sprache!$A$125,1,0)</f>
        <v>1</v>
      </c>
      <c r="T85" s="28" t="str">
        <f ca="1">Sprache!$A$52</f>
        <v>Podnośnik T-105</v>
      </c>
      <c r="U85" s="32">
        <f ca="1">Sprache!$A$64</f>
        <v>0</v>
      </c>
      <c r="V85" s="29">
        <f ca="1">Sprache!$A$64</f>
        <v>0</v>
      </c>
      <c r="W85" s="30" t="str">
        <f ca="1">Sprache!$A$60</f>
        <v>Front lity (drewno/płyta)</v>
      </c>
      <c r="X85" s="30">
        <f ca="1">Sprache!$A$126</f>
        <v>0</v>
      </c>
      <c r="Y85" s="30" t="str">
        <f ca="1">Sprache!$A$69</f>
        <v>Front</v>
      </c>
      <c r="Z85" s="30">
        <v>500</v>
      </c>
      <c r="AA85" s="28">
        <v>500</v>
      </c>
      <c r="AB85" s="30"/>
      <c r="AC85" s="31">
        <v>1.7</v>
      </c>
      <c r="AD85" s="53">
        <v>3.5</v>
      </c>
      <c r="AE85" s="30" t="s">
        <v>791</v>
      </c>
      <c r="AF85" s="30" t="str">
        <f ca="1">Sprache!$A$102</f>
        <v>Lewy</v>
      </c>
      <c r="AG85" s="30" t="str">
        <f ca="1">Sprache!$A$123</f>
        <v>1 podnośnik T-105</v>
      </c>
      <c r="AH85" s="30" t="str">
        <f ca="1">Sprache!$A$116</f>
        <v>Sprężyna czarna</v>
      </c>
      <c r="AI85" s="30" t="str">
        <f ca="1">Sprache!$A$138</f>
        <v>podnośnik T-105 prawy</v>
      </c>
      <c r="AJ85" s="30" t="s">
        <v>822</v>
      </c>
      <c r="AK85" s="30">
        <f>'Material+Limits'!$K$9</f>
        <v>200</v>
      </c>
      <c r="AL85" s="28">
        <v>1200</v>
      </c>
      <c r="AM85" s="30" t="str">
        <f ca="1">CONCATENATE("TIOMOS 110° ",Sprache!$A$88)</f>
        <v>TIOMOS 110° zawias</v>
      </c>
      <c r="AN85" s="30" t="str">
        <f ca="1">CONCATENATE("1D° ",Sprache!$A$200)</f>
        <v>1D° prowadnik</v>
      </c>
      <c r="AO85"/>
      <c r="AR85"/>
      <c r="AS85"/>
      <c r="AT85"/>
      <c r="AU85"/>
      <c r="AV85"/>
    </row>
    <row r="86" spans="1:48" x14ac:dyDescent="0.25">
      <c r="A86" t="str">
        <f t="shared" ca="1" si="3"/>
        <v/>
      </c>
      <c r="B86" t="str">
        <f t="shared" ca="1" si="2"/>
        <v/>
      </c>
      <c r="C86" s="79">
        <f>IF('Material+Limits'!$P$12=TRUE,1,0)</f>
        <v>0</v>
      </c>
      <c r="D86" s="39">
        <f>IF(Daten!$O86+Daten!$P86+Daten!$R86=3,1,0)</f>
        <v>0</v>
      </c>
      <c r="E86" s="184">
        <f ca="1">IF(AND('Material+Limits'!$Q$21=TRUE,Daten!N86=1)=TRUE,1,0)</f>
        <v>0</v>
      </c>
      <c r="F86" s="185">
        <f>IF(AND('Material+Limits'!$Q$25=TRUE,Daten!M86=1)=TRUE,1,0)</f>
        <v>0</v>
      </c>
      <c r="G86" s="185">
        <f>IF(AND('Material+Limits'!$Q$24=TRUE,Daten!L86=1)=TRUE,1,0)</f>
        <v>0</v>
      </c>
      <c r="H86" s="185">
        <f>IF(AND('Material+Limits'!$Q$23=TRUE,Daten!K86=1)=TRUE,1,0)</f>
        <v>0</v>
      </c>
      <c r="I86" s="185">
        <f>IF(AND('Material+Limits'!$Q$22=TRUE,Daten!J86=1)=TRUE,1,0)</f>
        <v>0</v>
      </c>
      <c r="J86" s="158">
        <f>IF(Daten!$U86=13,1,0)</f>
        <v>0</v>
      </c>
      <c r="K86" s="159">
        <f>IF(Daten!$U86&lt;&gt;Daten!$V86,1,IF(Daten!$U86=14,1,0))</f>
        <v>1</v>
      </c>
      <c r="L86" s="159">
        <f>IF(Daten!$U86&lt;&gt;Daten!$V86,1,IF(Daten!$U86=16,1,0))</f>
        <v>0</v>
      </c>
      <c r="M86" s="159">
        <f>IF(Daten!$V86=17,1,0)</f>
        <v>0</v>
      </c>
      <c r="N86" s="160">
        <f ca="1">IF(Daten!$W86=Sprache!$A$60,1,0)</f>
        <v>0</v>
      </c>
      <c r="O86" s="171">
        <f>IF(AND(Daten!$AK86&lt;=KINVARO!$AW$3,Daten!$AL86&gt;=KINVARO!$AW$3)=TRUE,1,0)</f>
        <v>1</v>
      </c>
      <c r="P86" s="172">
        <f>IF(AND(Daten!$Z86&lt;=KINVARO!$AW$4,Daten!$AA86&gt;=KINVARO!$AW$4)=TRUE,1,0)</f>
        <v>0</v>
      </c>
      <c r="Q86" s="172"/>
      <c r="R86" s="172">
        <f>IF(AND(Daten!$AC86&lt;='Material+Limits'!$I$58,Daten!$AD86&gt;='Material+Limits'!$I$58)=TRUE,1,0)</f>
        <v>0</v>
      </c>
      <c r="S86" s="23">
        <f ca="1">IF(Daten!$X86=Sprache!$A$125,1,0)</f>
        <v>1</v>
      </c>
      <c r="T86" s="24" t="str">
        <f ca="1">Sprache!$A$52</f>
        <v>Podnośnik T-105</v>
      </c>
      <c r="U86" s="27">
        <v>14</v>
      </c>
      <c r="V86" s="23">
        <v>14</v>
      </c>
      <c r="W86" s="25">
        <f ca="1">Sprache!$A$131</f>
        <v>0</v>
      </c>
      <c r="X86" s="25">
        <f ca="1">Sprache!$A$126</f>
        <v>0</v>
      </c>
      <c r="Y86" s="25" t="str">
        <f ca="1">Sprache!$A$69</f>
        <v>Front</v>
      </c>
      <c r="Z86" s="25">
        <v>500</v>
      </c>
      <c r="AA86" s="24">
        <v>500</v>
      </c>
      <c r="AB86" s="25"/>
      <c r="AC86" s="26">
        <v>1.1000000000000001</v>
      </c>
      <c r="AD86" s="54">
        <v>2.9</v>
      </c>
      <c r="AE86" s="25" t="s">
        <v>792</v>
      </c>
      <c r="AF86" s="25" t="str">
        <f ca="1">Sprache!$A$102</f>
        <v>Lewy</v>
      </c>
      <c r="AG86" s="25" t="str">
        <f ca="1">Sprache!$A$123</f>
        <v>1 podnośnik T-105</v>
      </c>
      <c r="AH86" s="25" t="str">
        <f ca="1">Sprache!$A$115</f>
        <v>Sprężyna standard</v>
      </c>
      <c r="AI86" s="25" t="str">
        <f ca="1">Sprache!$A$138</f>
        <v>podnośnik T-105 prawy</v>
      </c>
      <c r="AJ86" s="25" t="s">
        <v>823</v>
      </c>
      <c r="AK86" s="25">
        <f>'Material+Limits'!$K$9</f>
        <v>200</v>
      </c>
      <c r="AL86" s="24">
        <v>1200</v>
      </c>
      <c r="AM86" s="30" t="str">
        <f ca="1">CONCATENATE("TIOMOS 110° ",Sprache!$A$201)</f>
        <v>TIOMOS 110° zawias do ramy aluminiowej</v>
      </c>
      <c r="AN86" s="30" t="str">
        <f ca="1">CONCATENATE("1D° ",Sprache!$A$200)</f>
        <v>1D° prowadnik</v>
      </c>
      <c r="AO86"/>
      <c r="AR86"/>
      <c r="AS86"/>
      <c r="AT86"/>
      <c r="AU86"/>
      <c r="AV86"/>
    </row>
    <row r="87" spans="1:48" x14ac:dyDescent="0.25">
      <c r="A87" t="str">
        <f t="shared" ca="1" si="3"/>
        <v/>
      </c>
      <c r="B87" t="str">
        <f t="shared" ca="1" si="2"/>
        <v/>
      </c>
      <c r="C87" s="79">
        <f>IF('Material+Limits'!$P$12=TRUE,1,0)</f>
        <v>0</v>
      </c>
      <c r="D87" s="39">
        <f>IF(Daten!$O87+Daten!$P87+Daten!$R87=3,1,0)</f>
        <v>0</v>
      </c>
      <c r="E87" s="184">
        <f ca="1">IF(AND('Material+Limits'!$Q$21=TRUE,Daten!N87=1)=TRUE,1,0)</f>
        <v>0</v>
      </c>
      <c r="F87" s="185">
        <f>IF(AND('Material+Limits'!$Q$25=TRUE,Daten!M87=1)=TRUE,1,0)</f>
        <v>0</v>
      </c>
      <c r="G87" s="185">
        <f>IF(AND('Material+Limits'!$Q$24=TRUE,Daten!L87=1)=TRUE,1,0)</f>
        <v>0</v>
      </c>
      <c r="H87" s="185">
        <f>IF(AND('Material+Limits'!$Q$23=TRUE,Daten!K87=1)=TRUE,1,0)</f>
        <v>0</v>
      </c>
      <c r="I87" s="185">
        <f>IF(AND('Material+Limits'!$Q$22=TRUE,Daten!J87=1)=TRUE,1,0)</f>
        <v>0</v>
      </c>
      <c r="J87" s="155">
        <f>IF(Daten!$U87=13,1,0)</f>
        <v>0</v>
      </c>
      <c r="K87" s="156">
        <f>IF(Daten!$U87&lt;&gt;Daten!$V87,1,IF(Daten!$U87=14,1,0))</f>
        <v>0</v>
      </c>
      <c r="L87" s="156">
        <f>IF(Daten!$U87&lt;&gt;Daten!$V87,1,IF(Daten!$U87=16,1,0))</f>
        <v>1</v>
      </c>
      <c r="M87" s="156">
        <f>IF(Daten!$V87=17,1,0)</f>
        <v>0</v>
      </c>
      <c r="N87" s="157">
        <f ca="1">IF(Daten!$W87=Sprache!$A$60,1,0)</f>
        <v>0</v>
      </c>
      <c r="O87" s="169">
        <f>IF(AND(Daten!$AK87&lt;=KINVARO!$AW$3,Daten!$AL87&gt;=KINVARO!$AW$3)=TRUE,1,0)</f>
        <v>1</v>
      </c>
      <c r="P87" s="170">
        <f>IF(AND(Daten!$Z87&lt;=KINVARO!$AW$4,Daten!$AA87&gt;=KINVARO!$AW$4)=TRUE,1,0)</f>
        <v>0</v>
      </c>
      <c r="R87" s="170">
        <f>IF(AND(Daten!$AC87&lt;='Material+Limits'!$I$58,Daten!$AD87&gt;='Material+Limits'!$I$58)=TRUE,1,0)</f>
        <v>0</v>
      </c>
      <c r="S87" s="29">
        <f ca="1">IF(Daten!$X87=Sprache!$A$125,1,0)</f>
        <v>1</v>
      </c>
      <c r="T87" s="28" t="str">
        <f ca="1">Sprache!$A$52</f>
        <v>Podnośnik T-105</v>
      </c>
      <c r="U87" s="32">
        <v>16</v>
      </c>
      <c r="V87" s="29">
        <v>16</v>
      </c>
      <c r="W87" s="30">
        <f ca="1">Sprache!$A$131</f>
        <v>0</v>
      </c>
      <c r="X87" s="30">
        <f ca="1">Sprache!$A$126</f>
        <v>0</v>
      </c>
      <c r="Y87" s="30" t="str">
        <f ca="1">Sprache!$A$69</f>
        <v>Front</v>
      </c>
      <c r="Z87" s="30">
        <v>500</v>
      </c>
      <c r="AA87" s="28">
        <v>500</v>
      </c>
      <c r="AB87" s="30"/>
      <c r="AC87" s="31">
        <v>1.1000000000000001</v>
      </c>
      <c r="AD87" s="53">
        <v>2.9</v>
      </c>
      <c r="AE87" s="30" t="s">
        <v>793</v>
      </c>
      <c r="AF87" s="30" t="str">
        <f ca="1">Sprache!$A$102</f>
        <v>Lewy</v>
      </c>
      <c r="AG87" s="30" t="str">
        <f ca="1">Sprache!$A$123</f>
        <v>1 podnośnik T-105</v>
      </c>
      <c r="AH87" s="30" t="str">
        <f ca="1">Sprache!$A$115</f>
        <v>Sprężyna standard</v>
      </c>
      <c r="AI87" s="30" t="str">
        <f ca="1">Sprache!$A$138</f>
        <v>podnośnik T-105 prawy</v>
      </c>
      <c r="AJ87" s="30" t="s">
        <v>824</v>
      </c>
      <c r="AK87" s="30">
        <f>'Material+Limits'!$K$9</f>
        <v>200</v>
      </c>
      <c r="AL87" s="28">
        <v>1200</v>
      </c>
      <c r="AM87" s="30" t="str">
        <f ca="1">CONCATENATE("TIOMOS 110° ",Sprache!$A$201)</f>
        <v>TIOMOS 110° zawias do ramy aluminiowej</v>
      </c>
      <c r="AN87" s="30" t="str">
        <f ca="1">CONCATENATE("1D° ",Sprache!$A$200)</f>
        <v>1D° prowadnik</v>
      </c>
      <c r="AO87"/>
      <c r="AR87"/>
      <c r="AS87"/>
      <c r="AT87"/>
      <c r="AU87"/>
      <c r="AV87"/>
    </row>
    <row r="88" spans="1:48" x14ac:dyDescent="0.25">
      <c r="A88" t="str">
        <f t="shared" ca="1" si="3"/>
        <v/>
      </c>
      <c r="B88" t="str">
        <f t="shared" ca="1" si="2"/>
        <v/>
      </c>
      <c r="C88" s="79">
        <f>IF('Material+Limits'!$P$12=TRUE,1,0)</f>
        <v>0</v>
      </c>
      <c r="D88" s="39">
        <f>IF(Daten!$O88+Daten!$P88+Daten!$R88=3,1,0)</f>
        <v>0</v>
      </c>
      <c r="E88" s="184">
        <f ca="1">IF(AND('Material+Limits'!$Q$21=TRUE,Daten!N88=1)=TRUE,1,0)</f>
        <v>1</v>
      </c>
      <c r="F88" s="185">
        <f ca="1">IF(AND('Material+Limits'!$Q$25=TRUE,Daten!M88=1)=TRUE,1,0)</f>
        <v>0</v>
      </c>
      <c r="G88" s="185">
        <f ca="1">IF(AND('Material+Limits'!$Q$24=TRUE,Daten!L88=1)=TRUE,1,0)</f>
        <v>0</v>
      </c>
      <c r="H88" s="185">
        <f ca="1">IF(AND('Material+Limits'!$Q$23=TRUE,Daten!K88=1)=TRUE,1,0)</f>
        <v>0</v>
      </c>
      <c r="I88" s="185">
        <f ca="1">IF(AND('Material+Limits'!$Q$22=TRUE,Daten!J88=1)=TRUE,1,0)</f>
        <v>0</v>
      </c>
      <c r="J88" s="158">
        <f ca="1">IF(Daten!$U88=13,1,0)</f>
        <v>0</v>
      </c>
      <c r="K88" s="159">
        <f ca="1">IF(Daten!$U88&lt;&gt;Daten!$V88,1,IF(Daten!$U88=14,1,0))</f>
        <v>0</v>
      </c>
      <c r="L88" s="159">
        <f ca="1">IF(Daten!$U88&lt;&gt;Daten!$V88,1,IF(Daten!$U88=16,1,0))</f>
        <v>0</v>
      </c>
      <c r="M88" s="159">
        <f ca="1">IF(Daten!$V88=17,1,0)</f>
        <v>0</v>
      </c>
      <c r="N88" s="160">
        <f ca="1">IF(Daten!$W88=Sprache!$A$60,1,0)</f>
        <v>1</v>
      </c>
      <c r="O88" s="171">
        <f>IF(AND(Daten!$AK88&lt;=KINVARO!$AW$3,Daten!$AL88&gt;=KINVARO!$AW$3)=TRUE,1,0)</f>
        <v>1</v>
      </c>
      <c r="P88" s="172">
        <f>IF(AND(Daten!$Z88&lt;=KINVARO!$AW$4,Daten!$AA88&gt;=KINVARO!$AW$4)=TRUE,1,0)</f>
        <v>0</v>
      </c>
      <c r="Q88" s="172"/>
      <c r="R88" s="172">
        <f>IF(AND(Daten!$AC88&lt;='Material+Limits'!$I$58,Daten!$AD88&gt;='Material+Limits'!$I$58)=TRUE,1,0)</f>
        <v>0</v>
      </c>
      <c r="S88" s="23">
        <f ca="1">IF(Daten!$X88=Sprache!$A$125,1,0)</f>
        <v>1</v>
      </c>
      <c r="T88" s="24" t="str">
        <f ca="1">Sprache!$A$52</f>
        <v>Podnośnik T-105</v>
      </c>
      <c r="U88" s="27">
        <f ca="1">Sprache!$A$64</f>
        <v>0</v>
      </c>
      <c r="V88" s="23">
        <f ca="1">Sprache!$A$64</f>
        <v>0</v>
      </c>
      <c r="W88" s="25" t="str">
        <f ca="1">Sprache!$A$60</f>
        <v>Front lity (drewno/płyta)</v>
      </c>
      <c r="X88" s="25">
        <f ca="1">Sprache!$A$126</f>
        <v>0</v>
      </c>
      <c r="Y88" s="25" t="str">
        <f ca="1">Sprache!$A$69</f>
        <v>Front</v>
      </c>
      <c r="Z88" s="25">
        <v>500</v>
      </c>
      <c r="AA88" s="24">
        <v>500</v>
      </c>
      <c r="AB88" s="25"/>
      <c r="AC88" s="26">
        <v>2.2000000000000002</v>
      </c>
      <c r="AD88" s="54">
        <v>5.8</v>
      </c>
      <c r="AE88" s="25" t="s">
        <v>790</v>
      </c>
      <c r="AF88" s="25" t="str">
        <f ca="1">Sprache!$A$102</f>
        <v>Lewy</v>
      </c>
      <c r="AG88" s="25" t="str">
        <f ca="1">Sprache!$A$124</f>
        <v>2 podnośniki T-105</v>
      </c>
      <c r="AH88" s="25" t="str">
        <f ca="1">Sprache!$A$115</f>
        <v>Sprężyna standard</v>
      </c>
      <c r="AI88" s="25" t="str">
        <f ca="1">Sprache!$A$138</f>
        <v>podnośnik T-105 prawy</v>
      </c>
      <c r="AJ88" s="25" t="s">
        <v>821</v>
      </c>
      <c r="AK88" s="25">
        <f>'Material+Limits'!$K$9</f>
        <v>200</v>
      </c>
      <c r="AL88" s="24">
        <v>1200</v>
      </c>
      <c r="AM88" s="30" t="str">
        <f ca="1">CONCATENATE("TIOMOS 110° ",Sprache!$A$88)</f>
        <v>TIOMOS 110° zawias</v>
      </c>
      <c r="AN88" s="30" t="str">
        <f ca="1">CONCATENATE("1D° ",Sprache!$A$200)</f>
        <v>1D° prowadnik</v>
      </c>
      <c r="AO88"/>
      <c r="AR88"/>
      <c r="AS88"/>
      <c r="AT88"/>
      <c r="AU88"/>
      <c r="AV88"/>
    </row>
    <row r="89" spans="1:48" x14ac:dyDescent="0.25">
      <c r="A89" t="str">
        <f t="shared" ca="1" si="3"/>
        <v/>
      </c>
      <c r="B89" t="str">
        <f t="shared" ca="1" si="2"/>
        <v/>
      </c>
      <c r="C89" s="79">
        <f>IF('Material+Limits'!$P$12=TRUE,1,0)</f>
        <v>0</v>
      </c>
      <c r="D89" s="39">
        <f>IF(Daten!$O89+Daten!$P89+Daten!$R89=3,1,0)</f>
        <v>0</v>
      </c>
      <c r="E89" s="184">
        <f ca="1">IF(AND('Material+Limits'!$Q$21=TRUE,Daten!N89=1)=TRUE,1,0)</f>
        <v>1</v>
      </c>
      <c r="F89" s="185">
        <f ca="1">IF(AND('Material+Limits'!$Q$25=TRUE,Daten!M89=1)=TRUE,1,0)</f>
        <v>0</v>
      </c>
      <c r="G89" s="185">
        <f ca="1">IF(AND('Material+Limits'!$Q$24=TRUE,Daten!L89=1)=TRUE,1,0)</f>
        <v>0</v>
      </c>
      <c r="H89" s="185">
        <f ca="1">IF(AND('Material+Limits'!$Q$23=TRUE,Daten!K89=1)=TRUE,1,0)</f>
        <v>0</v>
      </c>
      <c r="I89" s="185">
        <f ca="1">IF(AND('Material+Limits'!$Q$22=TRUE,Daten!J89=1)=TRUE,1,0)</f>
        <v>0</v>
      </c>
      <c r="J89" s="155">
        <f ca="1">IF(Daten!$U89=13,1,0)</f>
        <v>0</v>
      </c>
      <c r="K89" s="156">
        <f ca="1">IF(Daten!$U89&lt;&gt;Daten!$V89,1,IF(Daten!$U89=14,1,0))</f>
        <v>0</v>
      </c>
      <c r="L89" s="156">
        <f ca="1">IF(Daten!$U89&lt;&gt;Daten!$V89,1,IF(Daten!$U89=16,1,0))</f>
        <v>0</v>
      </c>
      <c r="M89" s="156">
        <f ca="1">IF(Daten!$V89=17,1,0)</f>
        <v>0</v>
      </c>
      <c r="N89" s="157">
        <f ca="1">IF(Daten!$W89=Sprache!$A$60,1,0)</f>
        <v>1</v>
      </c>
      <c r="O89" s="169">
        <f>IF(AND(Daten!$AK89&lt;=KINVARO!$AW$3,Daten!$AL89&gt;=KINVARO!$AW$3)=TRUE,1,0)</f>
        <v>1</v>
      </c>
      <c r="P89" s="170">
        <f>IF(AND(Daten!$Z89&lt;=KINVARO!$AW$4,Daten!$AA89&gt;=KINVARO!$AW$4)=TRUE,1,0)</f>
        <v>0</v>
      </c>
      <c r="R89" s="170">
        <f>IF(AND(Daten!$AC89&lt;='Material+Limits'!$I$58,Daten!$AD89&gt;='Material+Limits'!$I$58)=TRUE,1,0)</f>
        <v>1</v>
      </c>
      <c r="S89" s="29">
        <f ca="1">IF(Daten!$X89=Sprache!$A$125,1,0)</f>
        <v>1</v>
      </c>
      <c r="T89" s="28" t="str">
        <f ca="1">Sprache!$A$52</f>
        <v>Podnośnik T-105</v>
      </c>
      <c r="U89" s="32">
        <f ca="1">Sprache!$A$64</f>
        <v>0</v>
      </c>
      <c r="V89" s="29">
        <f ca="1">Sprache!$A$64</f>
        <v>0</v>
      </c>
      <c r="W89" s="30" t="str">
        <f ca="1">Sprache!$A$60</f>
        <v>Front lity (drewno/płyta)</v>
      </c>
      <c r="X89" s="30">
        <f ca="1">Sprache!$A$126</f>
        <v>0</v>
      </c>
      <c r="Y89" s="30" t="str">
        <f ca="1">Sprache!$A$69</f>
        <v>Front</v>
      </c>
      <c r="Z89" s="30">
        <v>500</v>
      </c>
      <c r="AA89" s="28">
        <v>500</v>
      </c>
      <c r="AB89" s="30"/>
      <c r="AC89" s="31">
        <v>3.3</v>
      </c>
      <c r="AD89" s="53">
        <v>6.7</v>
      </c>
      <c r="AE89" s="30" t="s">
        <v>791</v>
      </c>
      <c r="AF89" s="30" t="str">
        <f ca="1">Sprache!$A$102</f>
        <v>Lewy</v>
      </c>
      <c r="AG89" s="30" t="str">
        <f ca="1">Sprache!$A$124</f>
        <v>2 podnośniki T-105</v>
      </c>
      <c r="AH89" s="30" t="str">
        <f ca="1">Sprache!$A$116</f>
        <v>Sprężyna czarna</v>
      </c>
      <c r="AI89" s="30" t="str">
        <f ca="1">Sprache!$A$138</f>
        <v>podnośnik T-105 prawy</v>
      </c>
      <c r="AJ89" s="30" t="s">
        <v>822</v>
      </c>
      <c r="AK89" s="30">
        <f>'Material+Limits'!$K$9</f>
        <v>200</v>
      </c>
      <c r="AL89" s="28">
        <v>1200</v>
      </c>
      <c r="AM89" s="30" t="str">
        <f ca="1">CONCATENATE("TIOMOS 110° ",Sprache!$A$88)</f>
        <v>TIOMOS 110° zawias</v>
      </c>
      <c r="AN89" s="30" t="str">
        <f ca="1">CONCATENATE("1D° ",Sprache!$A$200)</f>
        <v>1D° prowadnik</v>
      </c>
      <c r="AO89"/>
      <c r="AR89"/>
      <c r="AS89"/>
      <c r="AT89"/>
      <c r="AU89"/>
      <c r="AV89"/>
    </row>
    <row r="90" spans="1:48" x14ac:dyDescent="0.25">
      <c r="A90" t="str">
        <f t="shared" ca="1" si="3"/>
        <v/>
      </c>
      <c r="B90" t="str">
        <f t="shared" ca="1" si="2"/>
        <v/>
      </c>
      <c r="C90" s="79">
        <f>IF('Material+Limits'!$P$12=TRUE,1,0)</f>
        <v>0</v>
      </c>
      <c r="D90" s="39">
        <f>IF(Daten!$O90+Daten!$P90+Daten!$R90=3,1,0)</f>
        <v>0</v>
      </c>
      <c r="E90" s="184">
        <f ca="1">IF(AND('Material+Limits'!$Q$21=TRUE,Daten!N90=1)=TRUE,1,0)</f>
        <v>0</v>
      </c>
      <c r="F90" s="185">
        <f>IF(AND('Material+Limits'!$Q$25=TRUE,Daten!M90=1)=TRUE,1,0)</f>
        <v>0</v>
      </c>
      <c r="G90" s="185">
        <f>IF(AND('Material+Limits'!$Q$24=TRUE,Daten!L90=1)=TRUE,1,0)</f>
        <v>0</v>
      </c>
      <c r="H90" s="185">
        <f>IF(AND('Material+Limits'!$Q$23=TRUE,Daten!K90=1)=TRUE,1,0)</f>
        <v>0</v>
      </c>
      <c r="I90" s="185">
        <f>IF(AND('Material+Limits'!$Q$22=TRUE,Daten!J90=1)=TRUE,1,0)</f>
        <v>0</v>
      </c>
      <c r="J90" s="158">
        <f>IF(Daten!$U90=13,1,0)</f>
        <v>0</v>
      </c>
      <c r="K90" s="159">
        <f>IF(Daten!$U90&lt;&gt;Daten!$V90,1,IF(Daten!$U90=14,1,0))</f>
        <v>1</v>
      </c>
      <c r="L90" s="159">
        <f>IF(Daten!$U90&lt;&gt;Daten!$V90,1,IF(Daten!$U90=16,1,0))</f>
        <v>0</v>
      </c>
      <c r="M90" s="159">
        <f>IF(Daten!$V90=17,1,0)</f>
        <v>0</v>
      </c>
      <c r="N90" s="160">
        <f ca="1">IF(Daten!$W90=Sprache!$A$60,1,0)</f>
        <v>0</v>
      </c>
      <c r="O90" s="171">
        <f>IF(AND(Daten!$AK90&lt;=KINVARO!$AW$3,Daten!$AL90&gt;=KINVARO!$AW$3)=TRUE,1,0)</f>
        <v>1</v>
      </c>
      <c r="P90" s="172">
        <f>IF(AND(Daten!$Z90&lt;=KINVARO!$AW$4,Daten!$AA90&gt;=KINVARO!$AW$4)=TRUE,1,0)</f>
        <v>0</v>
      </c>
      <c r="Q90" s="172"/>
      <c r="R90" s="172">
        <f>IF(AND(Daten!$AC90&lt;='Material+Limits'!$I$58,Daten!$AD90&gt;='Material+Limits'!$I$58)=TRUE,1,0)</f>
        <v>0</v>
      </c>
      <c r="S90" s="23">
        <f ca="1">IF(Daten!$X90=Sprache!$A$125,1,0)</f>
        <v>1</v>
      </c>
      <c r="T90" s="24" t="str">
        <f ca="1">Sprache!$A$52</f>
        <v>Podnośnik T-105</v>
      </c>
      <c r="U90" s="27">
        <v>14</v>
      </c>
      <c r="V90" s="23">
        <v>14</v>
      </c>
      <c r="W90" s="25">
        <f ca="1">Sprache!$A$131</f>
        <v>0</v>
      </c>
      <c r="X90" s="25">
        <f ca="1">Sprache!$A$126</f>
        <v>0</v>
      </c>
      <c r="Y90" s="25" t="str">
        <f ca="1">Sprache!$A$69</f>
        <v>Front</v>
      </c>
      <c r="Z90" s="25">
        <v>500</v>
      </c>
      <c r="AA90" s="24">
        <v>500</v>
      </c>
      <c r="AB90" s="25"/>
      <c r="AC90" s="26">
        <v>2.2000000000000002</v>
      </c>
      <c r="AD90" s="54">
        <v>5.8</v>
      </c>
      <c r="AE90" s="25" t="s">
        <v>792</v>
      </c>
      <c r="AF90" s="25" t="str">
        <f ca="1">Sprache!$A$102</f>
        <v>Lewy</v>
      </c>
      <c r="AG90" s="25" t="str">
        <f ca="1">Sprache!$A$124</f>
        <v>2 podnośniki T-105</v>
      </c>
      <c r="AH90" s="25" t="str">
        <f ca="1">Sprache!$A$115</f>
        <v>Sprężyna standard</v>
      </c>
      <c r="AI90" s="25" t="str">
        <f ca="1">Sprache!$A$138</f>
        <v>podnośnik T-105 prawy</v>
      </c>
      <c r="AJ90" s="25" t="s">
        <v>823</v>
      </c>
      <c r="AK90" s="25">
        <f>'Material+Limits'!$K$9</f>
        <v>200</v>
      </c>
      <c r="AL90" s="24">
        <v>1200</v>
      </c>
      <c r="AM90" s="30" t="str">
        <f ca="1">CONCATENATE("TIOMOS 110° ",Sprache!$A$201)</f>
        <v>TIOMOS 110° zawias do ramy aluminiowej</v>
      </c>
      <c r="AN90" s="30" t="str">
        <f ca="1">CONCATENATE("1D° ",Sprache!$A$200)</f>
        <v>1D° prowadnik</v>
      </c>
      <c r="AO90"/>
      <c r="AR90"/>
      <c r="AS90"/>
      <c r="AT90"/>
      <c r="AU90"/>
      <c r="AV90"/>
    </row>
    <row r="91" spans="1:48" s="9" customFormat="1" ht="15.75" thickBot="1" x14ac:dyDescent="0.3">
      <c r="A91" t="str">
        <f t="shared" ca="1" si="3"/>
        <v/>
      </c>
      <c r="B91" t="str">
        <f t="shared" ca="1" si="2"/>
        <v/>
      </c>
      <c r="C91" s="81">
        <f>IF('Material+Limits'!$P$12=TRUE,1,0)</f>
        <v>0</v>
      </c>
      <c r="D91" s="39">
        <f>IF(Daten!$O91+Daten!$P91+Daten!$R91=3,1,0)</f>
        <v>0</v>
      </c>
      <c r="E91" s="184">
        <f ca="1">IF(AND('Material+Limits'!$Q$21=TRUE,Daten!N91=1)=TRUE,1,0)</f>
        <v>0</v>
      </c>
      <c r="F91" s="185">
        <f>IF(AND('Material+Limits'!$Q$25=TRUE,Daten!M91=1)=TRUE,1,0)</f>
        <v>0</v>
      </c>
      <c r="G91" s="185">
        <f>IF(AND('Material+Limits'!$Q$24=TRUE,Daten!L91=1)=TRUE,1,0)</f>
        <v>0</v>
      </c>
      <c r="H91" s="185">
        <f>IF(AND('Material+Limits'!$Q$23=TRUE,Daten!K91=1)=TRUE,1,0)</f>
        <v>0</v>
      </c>
      <c r="I91" s="185">
        <f>IF(AND('Material+Limits'!$Q$22=TRUE,Daten!J91=1)=TRUE,1,0)</f>
        <v>0</v>
      </c>
      <c r="J91" s="155">
        <f>IF(Daten!$U91=13,1,0)</f>
        <v>0</v>
      </c>
      <c r="K91" s="156">
        <f>IF(Daten!$U91&lt;&gt;Daten!$V91,1,IF(Daten!$U91=14,1,0))</f>
        <v>0</v>
      </c>
      <c r="L91" s="156">
        <f>IF(Daten!$U91&lt;&gt;Daten!$V91,1,IF(Daten!$U91=16,1,0))</f>
        <v>1</v>
      </c>
      <c r="M91" s="156">
        <f>IF(Daten!$V91=17,1,0)</f>
        <v>0</v>
      </c>
      <c r="N91" s="157">
        <f ca="1">IF(Daten!$W91=Sprache!$A$60,1,0)</f>
        <v>0</v>
      </c>
      <c r="O91" s="169">
        <f>IF(AND(Daten!$AK91&lt;=KINVARO!$AW$3,Daten!$AL91&gt;=KINVARO!$AW$3)=TRUE,1,0)</f>
        <v>1</v>
      </c>
      <c r="P91" s="170">
        <f>IF(AND(Daten!$Z91&lt;=KINVARO!$AW$4,Daten!$AA91&gt;=KINVARO!$AW$4)=TRUE,1,0)</f>
        <v>0</v>
      </c>
      <c r="Q91" s="170"/>
      <c r="R91" s="170">
        <f>IF(AND(Daten!$AC91&lt;='Material+Limits'!$I$58,Daten!$AD91&gt;='Material+Limits'!$I$58)=TRUE,1,0)</f>
        <v>0</v>
      </c>
      <c r="S91" s="29">
        <f ca="1">IF(Daten!$X91=Sprache!$A$125,1,0)</f>
        <v>1</v>
      </c>
      <c r="T91" s="28" t="str">
        <f ca="1">Sprache!$A$52</f>
        <v>Podnośnik T-105</v>
      </c>
      <c r="U91" s="32">
        <v>16</v>
      </c>
      <c r="V91" s="29">
        <v>16</v>
      </c>
      <c r="W91" s="30">
        <f ca="1">Sprache!$A$131</f>
        <v>0</v>
      </c>
      <c r="X91" s="30">
        <f ca="1">Sprache!$A$126</f>
        <v>0</v>
      </c>
      <c r="Y91" s="30" t="str">
        <f ca="1">Sprache!$A$69</f>
        <v>Front</v>
      </c>
      <c r="Z91" s="30">
        <v>500</v>
      </c>
      <c r="AA91" s="28">
        <v>500</v>
      </c>
      <c r="AB91" s="30"/>
      <c r="AC91" s="31">
        <v>2.2000000000000002</v>
      </c>
      <c r="AD91" s="53">
        <v>5.8</v>
      </c>
      <c r="AE91" s="30" t="s">
        <v>793</v>
      </c>
      <c r="AF91" s="30" t="str">
        <f ca="1">Sprache!$A$102</f>
        <v>Lewy</v>
      </c>
      <c r="AG91" s="30" t="str">
        <f ca="1">Sprache!$A$124</f>
        <v>2 podnośniki T-105</v>
      </c>
      <c r="AH91" s="30" t="str">
        <f ca="1">Sprache!$A$115</f>
        <v>Sprężyna standard</v>
      </c>
      <c r="AI91" s="30" t="str">
        <f ca="1">Sprache!$A$138</f>
        <v>podnośnik T-105 prawy</v>
      </c>
      <c r="AJ91" s="30" t="s">
        <v>824</v>
      </c>
      <c r="AK91" s="30">
        <f>'Material+Limits'!$K$9</f>
        <v>200</v>
      </c>
      <c r="AL91" s="28">
        <v>1200</v>
      </c>
      <c r="AM91" s="30" t="str">
        <f ca="1">CONCATENATE("TIOMOS 110° ",Sprache!$A$201)</f>
        <v>TIOMOS 110° zawias do ramy aluminiowej</v>
      </c>
      <c r="AN91" s="30" t="str">
        <f ca="1">CONCATENATE("1D° ",Sprache!$A$200)</f>
        <v>1D° prowadnik</v>
      </c>
    </row>
    <row r="92" spans="1:48" ht="15.75" thickTop="1" x14ac:dyDescent="0.25">
      <c r="A92" t="str">
        <f t="shared" ca="1" si="3"/>
        <v/>
      </c>
      <c r="B92" t="str">
        <f t="shared" ca="1" si="2"/>
        <v/>
      </c>
      <c r="C92" s="79">
        <f>IF('Material+Limits'!$P$11=TRUE,1,0)</f>
        <v>0</v>
      </c>
      <c r="D92" s="39">
        <f>IF(Daten!$O92+Daten!$P92+Daten!$R92=3,1,0)</f>
        <v>0</v>
      </c>
      <c r="E92" s="184">
        <f ca="1">IF(AND('Material+Limits'!$Q$21=TRUE,Daten!N92=1)=TRUE,1,0)</f>
        <v>1</v>
      </c>
      <c r="F92" s="185">
        <f ca="1">IF(AND('Material+Limits'!$Q$25=TRUE,Daten!M92=1)=TRUE,1,0)</f>
        <v>0</v>
      </c>
      <c r="G92" s="185">
        <f ca="1">IF(AND('Material+Limits'!$Q$24=TRUE,Daten!L92=1)=TRUE,1,0)</f>
        <v>0</v>
      </c>
      <c r="H92" s="185">
        <f ca="1">IF(AND('Material+Limits'!$Q$23=TRUE,Daten!K92=1)=TRUE,1,0)</f>
        <v>0</v>
      </c>
      <c r="I92" s="185">
        <f ca="1">IF(AND('Material+Limits'!$Q$22=TRUE,Daten!J92=1)=TRUE,1,0)</f>
        <v>0</v>
      </c>
      <c r="J92" s="158">
        <f ca="1">IF(Daten!$U92=13,1,0)</f>
        <v>0</v>
      </c>
      <c r="K92" s="159">
        <f ca="1">IF(Daten!$U92&lt;&gt;Daten!$V92,1,IF(Daten!$U92=14,1,0))</f>
        <v>0</v>
      </c>
      <c r="L92" s="159">
        <f ca="1">IF(Daten!$U92&lt;&gt;Daten!$V92,1,IF(Daten!$U92=16,1,0))</f>
        <v>0</v>
      </c>
      <c r="M92" s="159">
        <f ca="1">IF(Daten!$V92=17,1,0)</f>
        <v>0</v>
      </c>
      <c r="N92" s="160">
        <f ca="1">IF(Daten!$W92=Sprache!$A$60,1,0)</f>
        <v>1</v>
      </c>
      <c r="O92" s="175">
        <f>IF(AND(Daten!$AK92&lt;=KINVARO!$AW$3,Daten!$AL92&gt;=KINVARO!$AW$3)=TRUE,1,0)</f>
        <v>1</v>
      </c>
      <c r="P92" s="176">
        <f>IF(AND(Daten!$Z92&lt;=KINVARO!$AW$4,Daten!$AA92&gt;=KINVARO!$AW$4)=TRUE,1,0)</f>
        <v>0</v>
      </c>
      <c r="Q92" s="176"/>
      <c r="R92" s="176">
        <f>IF(AND(Daten!$AC92&lt;='Material+Limits'!$I$58,Daten!$AD92&gt;='Material+Limits'!$I$58)=TRUE,1,0)</f>
        <v>0</v>
      </c>
      <c r="S92" s="61">
        <f ca="1">IF(Daten!$X92=Sprache!$A$125,1,0)</f>
        <v>1</v>
      </c>
      <c r="T92" s="63" t="str">
        <f ca="1">Sprache!$A$53</f>
        <v>Podnośnik T-57</v>
      </c>
      <c r="U92" s="60">
        <f ca="1">Sprache!$A$64</f>
        <v>0</v>
      </c>
      <c r="V92" s="61">
        <f ca="1">Sprache!$A$64</f>
        <v>0</v>
      </c>
      <c r="W92" s="62" t="str">
        <f ca="1">Sprache!$A$60</f>
        <v>Front lity (drewno/płyta)</v>
      </c>
      <c r="X92" s="25">
        <f ca="1">Sprache!$A$126</f>
        <v>0</v>
      </c>
      <c r="Y92" s="62" t="str">
        <f ca="1">Sprache!$A$69</f>
        <v>Front</v>
      </c>
      <c r="Z92" s="62">
        <v>300</v>
      </c>
      <c r="AA92" s="63">
        <v>349</v>
      </c>
      <c r="AB92" s="62">
        <v>19</v>
      </c>
      <c r="AC92" s="64">
        <v>1</v>
      </c>
      <c r="AD92" s="65">
        <v>6.2</v>
      </c>
      <c r="AE92" s="62" t="s">
        <v>794</v>
      </c>
      <c r="AF92" s="62" t="str">
        <f ca="1">Sprache!$A$101</f>
        <v>Zestaw (prawy+lewy)</v>
      </c>
      <c r="AG92" s="62" t="s">
        <v>26</v>
      </c>
      <c r="AH92" s="62" t="str">
        <f ca="1">Sprache!$A$122</f>
        <v>nastawialna</v>
      </c>
      <c r="AI92" s="62" t="s">
        <v>26</v>
      </c>
      <c r="AJ92" s="62" t="s">
        <v>26</v>
      </c>
      <c r="AK92" s="62">
        <f>'Material+Limits'!$K$9</f>
        <v>200</v>
      </c>
      <c r="AL92" s="63">
        <v>1200</v>
      </c>
      <c r="AM92" s="30"/>
      <c r="AN92" s="24"/>
      <c r="AO92"/>
      <c r="AR92"/>
      <c r="AS92"/>
      <c r="AT92"/>
      <c r="AU92"/>
      <c r="AV92"/>
    </row>
    <row r="93" spans="1:48" x14ac:dyDescent="0.25">
      <c r="A93" t="str">
        <f t="shared" ca="1" si="3"/>
        <v/>
      </c>
      <c r="B93" t="str">
        <f t="shared" ca="1" si="2"/>
        <v/>
      </c>
      <c r="C93" s="79">
        <f>IF('Material+Limits'!$P$11=TRUE,1,0)</f>
        <v>0</v>
      </c>
      <c r="D93" s="39">
        <f>IF(Daten!$O93+Daten!$P93+Daten!$R93=3,1,0)</f>
        <v>0</v>
      </c>
      <c r="E93" s="184">
        <f ca="1">IF(AND('Material+Limits'!$Q$21=TRUE,Daten!N93=1)=TRUE,1,0)</f>
        <v>0</v>
      </c>
      <c r="F93" s="185">
        <f>IF(AND('Material+Limits'!$Q$25=TRUE,Daten!M93=1)=TRUE,1,0)</f>
        <v>0</v>
      </c>
      <c r="G93" s="185">
        <f>IF(AND('Material+Limits'!$Q$24=TRUE,Daten!L93=1)=TRUE,1,0)</f>
        <v>0</v>
      </c>
      <c r="H93" s="185">
        <f>IF(AND('Material+Limits'!$Q$23=TRUE,Daten!K93=1)=TRUE,1,0)</f>
        <v>0</v>
      </c>
      <c r="I93" s="185">
        <f>IF(AND('Material+Limits'!$Q$22=TRUE,Daten!J93=1)=TRUE,1,0)</f>
        <v>0</v>
      </c>
      <c r="J93" s="155">
        <f>IF(Daten!$U93=13,1,0)</f>
        <v>0</v>
      </c>
      <c r="K93" s="156">
        <f>IF(Daten!$U93&lt;&gt;Daten!$V93,1,IF(Daten!$U93=14,1,0))</f>
        <v>1</v>
      </c>
      <c r="L93" s="156">
        <f>IF(Daten!$U93&lt;&gt;Daten!$V93,1,IF(Daten!$U93=16,1,0))</f>
        <v>0</v>
      </c>
      <c r="M93" s="156">
        <f>IF(Daten!$V93=17,1,0)</f>
        <v>0</v>
      </c>
      <c r="N93" s="157">
        <f ca="1">IF(Daten!$W93=Sprache!$A$60,1,0)</f>
        <v>0</v>
      </c>
      <c r="O93" s="169">
        <f>IF(AND(Daten!$AK93&lt;=KINVARO!$AW$3,Daten!$AL93&gt;=KINVARO!$AW$3)=TRUE,1,0)</f>
        <v>1</v>
      </c>
      <c r="P93" s="170">
        <f>IF(AND(Daten!$Z93&lt;=KINVARO!$AW$4,Daten!$AA93&gt;=KINVARO!$AW$4)=TRUE,1,0)</f>
        <v>0</v>
      </c>
      <c r="R93" s="170">
        <f>IF(AND(Daten!$AC93&lt;='Material+Limits'!$I$58,Daten!$AD93&gt;='Material+Limits'!$I$58)=TRUE,1,0)</f>
        <v>0</v>
      </c>
      <c r="S93" s="29">
        <f ca="1">IF(Daten!$X93=Sprache!$A$125,1,0)</f>
        <v>1</v>
      </c>
      <c r="T93" s="28" t="str">
        <f ca="1">Sprache!$A$53</f>
        <v>Podnośnik T-57</v>
      </c>
      <c r="U93" s="32">
        <v>14</v>
      </c>
      <c r="V93" s="29">
        <v>14</v>
      </c>
      <c r="W93" s="30">
        <f ca="1">Sprache!$A$131</f>
        <v>0</v>
      </c>
      <c r="X93" s="30">
        <f ca="1">Sprache!$A$126</f>
        <v>0</v>
      </c>
      <c r="Y93" s="30" t="str">
        <f ca="1">Sprache!$A$69</f>
        <v>Front</v>
      </c>
      <c r="Z93" s="30">
        <v>300</v>
      </c>
      <c r="AA93" s="28">
        <v>349</v>
      </c>
      <c r="AB93" s="30">
        <v>19</v>
      </c>
      <c r="AC93" s="31">
        <v>1</v>
      </c>
      <c r="AD93" s="53">
        <v>6.2</v>
      </c>
      <c r="AE93" s="30" t="s">
        <v>795</v>
      </c>
      <c r="AF93" s="30" t="str">
        <f ca="1">Sprache!$A$101</f>
        <v>Zestaw (prawy+lewy)</v>
      </c>
      <c r="AG93" s="30" t="s">
        <v>26</v>
      </c>
      <c r="AH93" s="30" t="str">
        <f ca="1">Sprache!$A$122</f>
        <v>nastawialna</v>
      </c>
      <c r="AI93" s="30" t="s">
        <v>26</v>
      </c>
      <c r="AJ93" s="30" t="s">
        <v>26</v>
      </c>
      <c r="AK93" s="30">
        <f>'Material+Limits'!$K$9</f>
        <v>200</v>
      </c>
      <c r="AL93" s="28">
        <v>1200</v>
      </c>
      <c r="AM93" s="30"/>
      <c r="AN93" s="28"/>
      <c r="AO93"/>
      <c r="AR93"/>
      <c r="AS93"/>
      <c r="AT93"/>
      <c r="AU93"/>
      <c r="AV93"/>
    </row>
    <row r="94" spans="1:48" s="5" customFormat="1" x14ac:dyDescent="0.25">
      <c r="A94" t="str">
        <f t="shared" ca="1" si="3"/>
        <v/>
      </c>
      <c r="B94" t="str">
        <f t="shared" ca="1" si="2"/>
        <v/>
      </c>
      <c r="C94" s="79">
        <f>IF('Material+Limits'!$P$11=TRUE,1,0)</f>
        <v>0</v>
      </c>
      <c r="D94" s="39">
        <f>IF(Daten!$O94+Daten!$P94+Daten!$R94=3,1,0)</f>
        <v>0</v>
      </c>
      <c r="E94" s="184">
        <f ca="1">IF(AND('Material+Limits'!$Q$21=TRUE,Daten!N94=1)=TRUE,1,0)</f>
        <v>0</v>
      </c>
      <c r="F94" s="185">
        <f>IF(AND('Material+Limits'!$Q$25=TRUE,Daten!M94=1)=TRUE,1,0)</f>
        <v>0</v>
      </c>
      <c r="G94" s="185">
        <f>IF(AND('Material+Limits'!$Q$24=TRUE,Daten!L94=1)=TRUE,1,0)</f>
        <v>0</v>
      </c>
      <c r="H94" s="185">
        <f>IF(AND('Material+Limits'!$Q$23=TRUE,Daten!K94=1)=TRUE,1,0)</f>
        <v>0</v>
      </c>
      <c r="I94" s="185">
        <f>IF(AND('Material+Limits'!$Q$22=TRUE,Daten!J94=1)=TRUE,1,0)</f>
        <v>0</v>
      </c>
      <c r="J94" s="158">
        <f>IF(Daten!$U94=13,1,0)</f>
        <v>0</v>
      </c>
      <c r="K94" s="159">
        <f>IF(Daten!$U94&lt;&gt;Daten!$V94,1,IF(Daten!$U94=14,1,0))</f>
        <v>0</v>
      </c>
      <c r="L94" s="159">
        <f>IF(Daten!$U94&lt;&gt;Daten!$V94,1,IF(Daten!$U94=16,1,0))</f>
        <v>1</v>
      </c>
      <c r="M94" s="159">
        <f>IF(Daten!$V94=17,1,0)</f>
        <v>0</v>
      </c>
      <c r="N94" s="160">
        <f ca="1">IF(Daten!$W94=Sprache!$A$60,1,0)</f>
        <v>0</v>
      </c>
      <c r="O94" s="171">
        <f>IF(AND(Daten!$AK94&lt;=KINVARO!$AW$3,Daten!$AL94&gt;=KINVARO!$AW$3)=TRUE,1,0)</f>
        <v>1</v>
      </c>
      <c r="P94" s="172">
        <f>IF(AND(Daten!$Z94&lt;=KINVARO!$AW$4,Daten!$AA94&gt;=KINVARO!$AW$4)=TRUE,1,0)</f>
        <v>0</v>
      </c>
      <c r="Q94" s="172"/>
      <c r="R94" s="172">
        <f>IF(AND(Daten!$AC94&lt;='Material+Limits'!$I$58,Daten!$AD94&gt;='Material+Limits'!$I$58)=TRUE,1,0)</f>
        <v>0</v>
      </c>
      <c r="S94" s="23">
        <f ca="1">IF(Daten!$X94=Sprache!$A$125,1,0)</f>
        <v>1</v>
      </c>
      <c r="T94" s="24" t="str">
        <f ca="1">Sprache!$A$53</f>
        <v>Podnośnik T-57</v>
      </c>
      <c r="U94" s="27">
        <v>16</v>
      </c>
      <c r="V94" s="23">
        <v>16</v>
      </c>
      <c r="W94" s="25">
        <f ca="1">Sprache!$A$131</f>
        <v>0</v>
      </c>
      <c r="X94" s="25">
        <f ca="1">Sprache!$A$126</f>
        <v>0</v>
      </c>
      <c r="Y94" s="25" t="str">
        <f ca="1">Sprache!$A$69</f>
        <v>Front</v>
      </c>
      <c r="Z94" s="25">
        <v>300</v>
      </c>
      <c r="AA94" s="24">
        <v>349</v>
      </c>
      <c r="AB94" s="25">
        <v>19</v>
      </c>
      <c r="AC94" s="26">
        <v>1</v>
      </c>
      <c r="AD94" s="54">
        <v>6.2</v>
      </c>
      <c r="AE94" s="25" t="s">
        <v>796</v>
      </c>
      <c r="AF94" s="25" t="str">
        <f ca="1">Sprache!$A$101</f>
        <v>Zestaw (prawy+lewy)</v>
      </c>
      <c r="AG94" s="25" t="s">
        <v>26</v>
      </c>
      <c r="AH94" s="25" t="str">
        <f ca="1">Sprache!$A$122</f>
        <v>nastawialna</v>
      </c>
      <c r="AI94" s="25" t="s">
        <v>26</v>
      </c>
      <c r="AJ94" s="25" t="s">
        <v>26</v>
      </c>
      <c r="AK94" s="25">
        <f>'Material+Limits'!$K$9</f>
        <v>200</v>
      </c>
      <c r="AL94" s="24">
        <v>1200</v>
      </c>
      <c r="AM94" s="30"/>
      <c r="AN94" s="24"/>
    </row>
    <row r="95" spans="1:48" x14ac:dyDescent="0.25">
      <c r="A95" t="str">
        <f t="shared" ca="1" si="3"/>
        <v/>
      </c>
      <c r="B95" t="str">
        <f t="shared" ca="1" si="2"/>
        <v/>
      </c>
      <c r="C95" s="79">
        <f>IF('Material+Limits'!$P$11=TRUE,1,0)</f>
        <v>0</v>
      </c>
      <c r="D95" s="39">
        <f>IF(Daten!$O95+Daten!$P95+Daten!$R95=3,1,0)</f>
        <v>0</v>
      </c>
      <c r="E95" s="184">
        <f ca="1">IF(AND('Material+Limits'!$Q$21=TRUE,Daten!N95=1)=TRUE,1,0)</f>
        <v>1</v>
      </c>
      <c r="F95" s="185">
        <f ca="1">IF(AND('Material+Limits'!$Q$25=TRUE,Daten!M95=1)=TRUE,1,0)</f>
        <v>0</v>
      </c>
      <c r="G95" s="185">
        <f ca="1">IF(AND('Material+Limits'!$Q$24=TRUE,Daten!L95=1)=TRUE,1,0)</f>
        <v>0</v>
      </c>
      <c r="H95" s="185">
        <f ca="1">IF(AND('Material+Limits'!$Q$23=TRUE,Daten!K95=1)=TRUE,1,0)</f>
        <v>0</v>
      </c>
      <c r="I95" s="185">
        <f ca="1">IF(AND('Material+Limits'!$Q$22=TRUE,Daten!J95=1)=TRUE,1,0)</f>
        <v>0</v>
      </c>
      <c r="J95" s="155">
        <f ca="1">IF(Daten!$U95=13,1,0)</f>
        <v>0</v>
      </c>
      <c r="K95" s="156">
        <f ca="1">IF(Daten!$U95&lt;&gt;Daten!$V95,1,IF(Daten!$U95=14,1,0))</f>
        <v>0</v>
      </c>
      <c r="L95" s="156">
        <f ca="1">IF(Daten!$U95&lt;&gt;Daten!$V95,1,IF(Daten!$U95=16,1,0))</f>
        <v>0</v>
      </c>
      <c r="M95" s="156">
        <f ca="1">IF(Daten!$V95=17,1,0)</f>
        <v>0</v>
      </c>
      <c r="N95" s="157">
        <f ca="1">IF(Daten!$W95=Sprache!$A$60,1,0)</f>
        <v>1</v>
      </c>
      <c r="O95" s="177">
        <f>IF(AND(Daten!$AK95&lt;=KINVARO!$AW$3,Daten!$AL95&gt;=KINVARO!$AW$3)=TRUE,1,0)</f>
        <v>1</v>
      </c>
      <c r="P95" s="178">
        <f>IF(AND(Daten!$Z95&lt;=KINVARO!$AW$4,Daten!$AA95&gt;=KINVARO!$AW$4)=TRUE,1,0)</f>
        <v>0</v>
      </c>
      <c r="Q95" s="178"/>
      <c r="R95" s="178">
        <f>IF(AND(Daten!$AC95&lt;='Material+Limits'!$I$58,Daten!$AD95&gt;='Material+Limits'!$I$58)=TRUE,1,0)</f>
        <v>0</v>
      </c>
      <c r="S95" s="67">
        <f ca="1">IF(Daten!$X95=Sprache!$A$125,1,0)</f>
        <v>1</v>
      </c>
      <c r="T95" s="69" t="str">
        <f ca="1">Sprache!$A$53</f>
        <v>Podnośnik T-57</v>
      </c>
      <c r="U95" s="66">
        <f ca="1">Sprache!$A$64</f>
        <v>0</v>
      </c>
      <c r="V95" s="67">
        <f ca="1">Sprache!$A$64</f>
        <v>0</v>
      </c>
      <c r="W95" s="68" t="str">
        <f ca="1">Sprache!$A$60</f>
        <v>Front lity (drewno/płyta)</v>
      </c>
      <c r="X95" s="30">
        <f ca="1">Sprache!$A$126</f>
        <v>0</v>
      </c>
      <c r="Y95" s="68" t="str">
        <f ca="1">Sprache!$A$69</f>
        <v>Front</v>
      </c>
      <c r="Z95" s="68">
        <v>350</v>
      </c>
      <c r="AA95" s="69">
        <v>399</v>
      </c>
      <c r="AB95" s="68">
        <v>19</v>
      </c>
      <c r="AC95" s="70">
        <v>1.2</v>
      </c>
      <c r="AD95" s="71">
        <v>4.9000000000000004</v>
      </c>
      <c r="AE95" s="68" t="s">
        <v>794</v>
      </c>
      <c r="AF95" s="68" t="str">
        <f ca="1">Sprache!$A$101</f>
        <v>Zestaw (prawy+lewy)</v>
      </c>
      <c r="AG95" s="68" t="s">
        <v>26</v>
      </c>
      <c r="AH95" s="68" t="str">
        <f ca="1">Sprache!$A$122</f>
        <v>nastawialna</v>
      </c>
      <c r="AI95" s="68" t="s">
        <v>26</v>
      </c>
      <c r="AJ95" s="68" t="s">
        <v>26</v>
      </c>
      <c r="AK95" s="68">
        <f>'Material+Limits'!$K$9</f>
        <v>200</v>
      </c>
      <c r="AL95" s="69">
        <v>1200</v>
      </c>
      <c r="AM95" s="30"/>
      <c r="AN95" s="28"/>
      <c r="AO95"/>
      <c r="AR95"/>
      <c r="AS95"/>
      <c r="AT95"/>
      <c r="AU95"/>
      <c r="AV95"/>
    </row>
    <row r="96" spans="1:48" x14ac:dyDescent="0.25">
      <c r="A96" t="str">
        <f t="shared" ca="1" si="3"/>
        <v/>
      </c>
      <c r="B96" t="str">
        <f t="shared" ca="1" si="2"/>
        <v/>
      </c>
      <c r="C96" s="79">
        <f>IF('Material+Limits'!$P$11=TRUE,1,0)</f>
        <v>0</v>
      </c>
      <c r="D96" s="39">
        <f>IF(Daten!$O96+Daten!$P96+Daten!$R96=3,1,0)</f>
        <v>0</v>
      </c>
      <c r="E96" s="184">
        <f ca="1">IF(AND('Material+Limits'!$Q$21=TRUE,Daten!N96=1)=TRUE,1,0)</f>
        <v>0</v>
      </c>
      <c r="F96" s="185">
        <f>IF(AND('Material+Limits'!$Q$25=TRUE,Daten!M96=1)=TRUE,1,0)</f>
        <v>0</v>
      </c>
      <c r="G96" s="185">
        <f>IF(AND('Material+Limits'!$Q$24=TRUE,Daten!L96=1)=TRUE,1,0)</f>
        <v>0</v>
      </c>
      <c r="H96" s="185">
        <f>IF(AND('Material+Limits'!$Q$23=TRUE,Daten!K96=1)=TRUE,1,0)</f>
        <v>0</v>
      </c>
      <c r="I96" s="185">
        <f>IF(AND('Material+Limits'!$Q$22=TRUE,Daten!J96=1)=TRUE,1,0)</f>
        <v>0</v>
      </c>
      <c r="J96" s="158">
        <f>IF(Daten!$U96=13,1,0)</f>
        <v>0</v>
      </c>
      <c r="K96" s="159">
        <f>IF(Daten!$U96&lt;&gt;Daten!$V96,1,IF(Daten!$U96=14,1,0))</f>
        <v>1</v>
      </c>
      <c r="L96" s="159">
        <f>IF(Daten!$U96&lt;&gt;Daten!$V96,1,IF(Daten!$U96=16,1,0))</f>
        <v>0</v>
      </c>
      <c r="M96" s="159">
        <f>IF(Daten!$V96=17,1,0)</f>
        <v>0</v>
      </c>
      <c r="N96" s="160">
        <f ca="1">IF(Daten!$W96=Sprache!$A$60,1,0)</f>
        <v>0</v>
      </c>
      <c r="O96" s="171">
        <f>IF(AND(Daten!$AK96&lt;=KINVARO!$AW$3,Daten!$AL96&gt;=KINVARO!$AW$3)=TRUE,1,0)</f>
        <v>1</v>
      </c>
      <c r="P96" s="172">
        <f>IF(AND(Daten!$Z96&lt;=KINVARO!$AW$4,Daten!$AA96&gt;=KINVARO!$AW$4)=TRUE,1,0)</f>
        <v>0</v>
      </c>
      <c r="Q96" s="172"/>
      <c r="R96" s="172">
        <f>IF(AND(Daten!$AC96&lt;='Material+Limits'!$I$58,Daten!$AD96&gt;='Material+Limits'!$I$58)=TRUE,1,0)</f>
        <v>0</v>
      </c>
      <c r="S96" s="23">
        <f ca="1">IF(Daten!$X96=Sprache!$A$125,1,0)</f>
        <v>1</v>
      </c>
      <c r="T96" s="24" t="str">
        <f ca="1">Sprache!$A$53</f>
        <v>Podnośnik T-57</v>
      </c>
      <c r="U96" s="27">
        <v>14</v>
      </c>
      <c r="V96" s="23">
        <v>14</v>
      </c>
      <c r="W96" s="25">
        <f ca="1">Sprache!$A$131</f>
        <v>0</v>
      </c>
      <c r="X96" s="25">
        <f ca="1">Sprache!$A$126</f>
        <v>0</v>
      </c>
      <c r="Y96" s="25" t="str">
        <f ca="1">Sprache!$A$69</f>
        <v>Front</v>
      </c>
      <c r="Z96" s="25">
        <v>350</v>
      </c>
      <c r="AA96" s="24">
        <v>399</v>
      </c>
      <c r="AB96" s="25">
        <v>19</v>
      </c>
      <c r="AC96" s="26">
        <v>1.2</v>
      </c>
      <c r="AD96" s="54">
        <v>4.9000000000000004</v>
      </c>
      <c r="AE96" s="25" t="s">
        <v>795</v>
      </c>
      <c r="AF96" s="25" t="str">
        <f ca="1">Sprache!$A$101</f>
        <v>Zestaw (prawy+lewy)</v>
      </c>
      <c r="AG96" s="25" t="s">
        <v>26</v>
      </c>
      <c r="AH96" s="25" t="str">
        <f ca="1">Sprache!$A$122</f>
        <v>nastawialna</v>
      </c>
      <c r="AI96" s="25" t="s">
        <v>26</v>
      </c>
      <c r="AJ96" s="25" t="s">
        <v>26</v>
      </c>
      <c r="AK96" s="25">
        <f>'Material+Limits'!$K$9</f>
        <v>200</v>
      </c>
      <c r="AL96" s="24">
        <v>1200</v>
      </c>
      <c r="AM96" s="30"/>
      <c r="AN96" s="24"/>
      <c r="AO96"/>
      <c r="AR96"/>
      <c r="AS96"/>
      <c r="AT96"/>
      <c r="AU96"/>
      <c r="AV96"/>
    </row>
    <row r="97" spans="1:48" s="5" customFormat="1" x14ac:dyDescent="0.25">
      <c r="A97" t="str">
        <f t="shared" ca="1" si="3"/>
        <v/>
      </c>
      <c r="B97" t="str">
        <f t="shared" ca="1" si="2"/>
        <v/>
      </c>
      <c r="C97" s="79">
        <f>IF('Material+Limits'!$P$11=TRUE,1,0)</f>
        <v>0</v>
      </c>
      <c r="D97" s="39">
        <f>IF(Daten!$O97+Daten!$P97+Daten!$R97=3,1,0)</f>
        <v>0</v>
      </c>
      <c r="E97" s="184">
        <f ca="1">IF(AND('Material+Limits'!$Q$21=TRUE,Daten!N97=1)=TRUE,1,0)</f>
        <v>0</v>
      </c>
      <c r="F97" s="185">
        <f>IF(AND('Material+Limits'!$Q$25=TRUE,Daten!M97=1)=TRUE,1,0)</f>
        <v>0</v>
      </c>
      <c r="G97" s="185">
        <f>IF(AND('Material+Limits'!$Q$24=TRUE,Daten!L97=1)=TRUE,1,0)</f>
        <v>0</v>
      </c>
      <c r="H97" s="185">
        <f>IF(AND('Material+Limits'!$Q$23=TRUE,Daten!K97=1)=TRUE,1,0)</f>
        <v>0</v>
      </c>
      <c r="I97" s="185">
        <f>IF(AND('Material+Limits'!$Q$22=TRUE,Daten!J97=1)=TRUE,1,0)</f>
        <v>0</v>
      </c>
      <c r="J97" s="155">
        <f>IF(Daten!$U97=13,1,0)</f>
        <v>0</v>
      </c>
      <c r="K97" s="156">
        <f>IF(Daten!$U97&lt;&gt;Daten!$V97,1,IF(Daten!$U97=14,1,0))</f>
        <v>0</v>
      </c>
      <c r="L97" s="156">
        <f>IF(Daten!$U97&lt;&gt;Daten!$V97,1,IF(Daten!$U97=16,1,0))</f>
        <v>1</v>
      </c>
      <c r="M97" s="156">
        <f>IF(Daten!$V97=17,1,0)</f>
        <v>0</v>
      </c>
      <c r="N97" s="157">
        <f ca="1">IF(Daten!$W97=Sprache!$A$60,1,0)</f>
        <v>0</v>
      </c>
      <c r="O97" s="169">
        <f>IF(AND(Daten!$AK97&lt;=KINVARO!$AW$3,Daten!$AL97&gt;=KINVARO!$AW$3)=TRUE,1,0)</f>
        <v>1</v>
      </c>
      <c r="P97" s="170">
        <f>IF(AND(Daten!$Z97&lt;=KINVARO!$AW$4,Daten!$AA97&gt;=KINVARO!$AW$4)=TRUE,1,0)</f>
        <v>0</v>
      </c>
      <c r="Q97" s="170"/>
      <c r="R97" s="170">
        <f>IF(AND(Daten!$AC97&lt;='Material+Limits'!$I$58,Daten!$AD97&gt;='Material+Limits'!$I$58)=TRUE,1,0)</f>
        <v>0</v>
      </c>
      <c r="S97" s="29">
        <f ca="1">IF(Daten!$X97=Sprache!$A$125,1,0)</f>
        <v>1</v>
      </c>
      <c r="T97" s="28" t="str">
        <f ca="1">Sprache!$A$53</f>
        <v>Podnośnik T-57</v>
      </c>
      <c r="U97" s="32">
        <v>16</v>
      </c>
      <c r="V97" s="29">
        <v>16</v>
      </c>
      <c r="W97" s="30">
        <f ca="1">Sprache!$A$131</f>
        <v>0</v>
      </c>
      <c r="X97" s="30">
        <f ca="1">Sprache!$A$126</f>
        <v>0</v>
      </c>
      <c r="Y97" s="30" t="str">
        <f ca="1">Sprache!$A$69</f>
        <v>Front</v>
      </c>
      <c r="Z97" s="30">
        <v>350</v>
      </c>
      <c r="AA97" s="28">
        <v>399</v>
      </c>
      <c r="AB97" s="30">
        <v>19</v>
      </c>
      <c r="AC97" s="31">
        <v>1.2</v>
      </c>
      <c r="AD97" s="53">
        <v>4.9000000000000004</v>
      </c>
      <c r="AE97" s="30" t="s">
        <v>796</v>
      </c>
      <c r="AF97" s="30" t="str">
        <f ca="1">Sprache!$A$101</f>
        <v>Zestaw (prawy+lewy)</v>
      </c>
      <c r="AG97" s="30" t="s">
        <v>26</v>
      </c>
      <c r="AH97" s="30" t="str">
        <f ca="1">Sprache!$A$122</f>
        <v>nastawialna</v>
      </c>
      <c r="AI97" s="30" t="s">
        <v>26</v>
      </c>
      <c r="AJ97" s="30" t="s">
        <v>26</v>
      </c>
      <c r="AK97" s="30">
        <f>'Material+Limits'!$K$9</f>
        <v>200</v>
      </c>
      <c r="AL97" s="28">
        <v>1200</v>
      </c>
      <c r="AM97" s="30"/>
      <c r="AN97" s="28"/>
    </row>
    <row r="98" spans="1:48" x14ac:dyDescent="0.25">
      <c r="A98" t="str">
        <f t="shared" ca="1" si="3"/>
        <v/>
      </c>
      <c r="B98" t="str">
        <f t="shared" ca="1" si="2"/>
        <v/>
      </c>
      <c r="C98" s="79">
        <f>IF('Material+Limits'!$P$11=TRUE,1,0)</f>
        <v>0</v>
      </c>
      <c r="D98" s="39">
        <f>IF(Daten!$O98+Daten!$P98+Daten!$R98=3,1,0)</f>
        <v>0</v>
      </c>
      <c r="E98" s="184">
        <f ca="1">IF(AND('Material+Limits'!$Q$21=TRUE,Daten!N98=1)=TRUE,1,0)</f>
        <v>1</v>
      </c>
      <c r="F98" s="185">
        <f ca="1">IF(AND('Material+Limits'!$Q$25=TRUE,Daten!M98=1)=TRUE,1,0)</f>
        <v>0</v>
      </c>
      <c r="G98" s="185">
        <f ca="1">IF(AND('Material+Limits'!$Q$24=TRUE,Daten!L98=1)=TRUE,1,0)</f>
        <v>0</v>
      </c>
      <c r="H98" s="185">
        <f ca="1">IF(AND('Material+Limits'!$Q$23=TRUE,Daten!K98=1)=TRUE,1,0)</f>
        <v>0</v>
      </c>
      <c r="I98" s="185">
        <f ca="1">IF(AND('Material+Limits'!$Q$22=TRUE,Daten!J98=1)=TRUE,1,0)</f>
        <v>0</v>
      </c>
      <c r="J98" s="158">
        <f ca="1">IF(Daten!$U98=13,1,0)</f>
        <v>0</v>
      </c>
      <c r="K98" s="159">
        <f ca="1">IF(Daten!$U98&lt;&gt;Daten!$V98,1,IF(Daten!$U98=14,1,0))</f>
        <v>0</v>
      </c>
      <c r="L98" s="159">
        <f ca="1">IF(Daten!$U98&lt;&gt;Daten!$V98,1,IF(Daten!$U98=16,1,0))</f>
        <v>0</v>
      </c>
      <c r="M98" s="159">
        <f ca="1">IF(Daten!$V98=17,1,0)</f>
        <v>0</v>
      </c>
      <c r="N98" s="160">
        <f ca="1">IF(Daten!$W98=Sprache!$A$60,1,0)</f>
        <v>1</v>
      </c>
      <c r="O98" s="173">
        <f>IF(AND(Daten!$AK98&lt;=KINVARO!$AW$3,Daten!$AL98&gt;=KINVARO!$AW$3)=TRUE,1,0)</f>
        <v>1</v>
      </c>
      <c r="P98" s="174">
        <f>IF(AND(Daten!$Z98&lt;=KINVARO!$AW$4,Daten!$AA98&gt;=KINVARO!$AW$4)=TRUE,1,0)</f>
        <v>0</v>
      </c>
      <c r="Q98" s="174"/>
      <c r="R98" s="174">
        <f>IF(AND(Daten!$AC98&lt;='Material+Limits'!$I$58,Daten!$AD98&gt;='Material+Limits'!$I$58)=TRUE,1,0)</f>
        <v>0</v>
      </c>
      <c r="S98" s="38">
        <f ca="1">IF(Daten!$X98=Sprache!$A$125,1,0)</f>
        <v>1</v>
      </c>
      <c r="T98" s="57" t="str">
        <f ca="1">Sprache!$A$53</f>
        <v>Podnośnik T-57</v>
      </c>
      <c r="U98" s="55">
        <f ca="1">Sprache!$A$64</f>
        <v>0</v>
      </c>
      <c r="V98" s="38">
        <f ca="1">Sprache!$A$64</f>
        <v>0</v>
      </c>
      <c r="W98" s="56" t="str">
        <f ca="1">Sprache!$A$60</f>
        <v>Front lity (drewno/płyta)</v>
      </c>
      <c r="X98" s="25">
        <f ca="1">Sprache!$A$126</f>
        <v>0</v>
      </c>
      <c r="Y98" s="56" t="str">
        <f ca="1">Sprache!$A$69</f>
        <v>Front</v>
      </c>
      <c r="Z98" s="56">
        <v>400</v>
      </c>
      <c r="AA98" s="57">
        <v>449</v>
      </c>
      <c r="AB98" s="56">
        <v>19</v>
      </c>
      <c r="AC98" s="58">
        <v>1.4</v>
      </c>
      <c r="AD98" s="59">
        <v>3.8</v>
      </c>
      <c r="AE98" s="56" t="s">
        <v>794</v>
      </c>
      <c r="AF98" s="56" t="str">
        <f ca="1">Sprache!$A$101</f>
        <v>Zestaw (prawy+lewy)</v>
      </c>
      <c r="AG98" s="56" t="s">
        <v>26</v>
      </c>
      <c r="AH98" s="56" t="str">
        <f ca="1">Sprache!$A$122</f>
        <v>nastawialna</v>
      </c>
      <c r="AI98" s="56" t="s">
        <v>26</v>
      </c>
      <c r="AJ98" s="56" t="s">
        <v>26</v>
      </c>
      <c r="AK98" s="56">
        <f>'Material+Limits'!$K$9</f>
        <v>200</v>
      </c>
      <c r="AL98" s="57">
        <v>1200</v>
      </c>
      <c r="AM98" s="30"/>
      <c r="AN98" s="24"/>
      <c r="AO98"/>
      <c r="AR98"/>
      <c r="AS98"/>
      <c r="AT98"/>
      <c r="AU98"/>
      <c r="AV98"/>
    </row>
    <row r="99" spans="1:48" x14ac:dyDescent="0.25">
      <c r="A99" t="str">
        <f t="shared" ca="1" si="3"/>
        <v/>
      </c>
      <c r="B99" t="str">
        <f t="shared" ca="1" si="2"/>
        <v/>
      </c>
      <c r="C99" s="79">
        <f>IF('Material+Limits'!$P$11=TRUE,1,0)</f>
        <v>0</v>
      </c>
      <c r="D99" s="39">
        <f>IF(Daten!$O99+Daten!$P99+Daten!$R99=3,1,0)</f>
        <v>0</v>
      </c>
      <c r="E99" s="184">
        <f ca="1">IF(AND('Material+Limits'!$Q$21=TRUE,Daten!N99=1)=TRUE,1,0)</f>
        <v>0</v>
      </c>
      <c r="F99" s="185">
        <f>IF(AND('Material+Limits'!$Q$25=TRUE,Daten!M99=1)=TRUE,1,0)</f>
        <v>0</v>
      </c>
      <c r="G99" s="185">
        <f>IF(AND('Material+Limits'!$Q$24=TRUE,Daten!L99=1)=TRUE,1,0)</f>
        <v>0</v>
      </c>
      <c r="H99" s="185">
        <f>IF(AND('Material+Limits'!$Q$23=TRUE,Daten!K99=1)=TRUE,1,0)</f>
        <v>0</v>
      </c>
      <c r="I99" s="185">
        <f>IF(AND('Material+Limits'!$Q$22=TRUE,Daten!J99=1)=TRUE,1,0)</f>
        <v>0</v>
      </c>
      <c r="J99" s="155">
        <f>IF(Daten!$U99=13,1,0)</f>
        <v>0</v>
      </c>
      <c r="K99" s="156">
        <f>IF(Daten!$U99&lt;&gt;Daten!$V99,1,IF(Daten!$U99=14,1,0))</f>
        <v>1</v>
      </c>
      <c r="L99" s="156">
        <f>IF(Daten!$U99&lt;&gt;Daten!$V99,1,IF(Daten!$U99=16,1,0))</f>
        <v>0</v>
      </c>
      <c r="M99" s="156">
        <f>IF(Daten!$V99=17,1,0)</f>
        <v>0</v>
      </c>
      <c r="N99" s="157">
        <f ca="1">IF(Daten!$W99=Sprache!$A$60,1,0)</f>
        <v>0</v>
      </c>
      <c r="O99" s="169">
        <f>IF(AND(Daten!$AK99&lt;=KINVARO!$AW$3,Daten!$AL99&gt;=KINVARO!$AW$3)=TRUE,1,0)</f>
        <v>1</v>
      </c>
      <c r="P99" s="170">
        <f>IF(AND(Daten!$Z99&lt;=KINVARO!$AW$4,Daten!$AA99&gt;=KINVARO!$AW$4)=TRUE,1,0)</f>
        <v>0</v>
      </c>
      <c r="R99" s="170">
        <f>IF(AND(Daten!$AC99&lt;='Material+Limits'!$I$58,Daten!$AD99&gt;='Material+Limits'!$I$58)=TRUE,1,0)</f>
        <v>0</v>
      </c>
      <c r="S99" s="29">
        <f ca="1">IF(Daten!$X99=Sprache!$A$125,1,0)</f>
        <v>1</v>
      </c>
      <c r="T99" s="28" t="str">
        <f ca="1">Sprache!$A$53</f>
        <v>Podnośnik T-57</v>
      </c>
      <c r="U99" s="32">
        <v>14</v>
      </c>
      <c r="V99" s="29">
        <v>14</v>
      </c>
      <c r="W99" s="30">
        <f ca="1">Sprache!$A$131</f>
        <v>0</v>
      </c>
      <c r="X99" s="30">
        <f ca="1">Sprache!$A$126</f>
        <v>0</v>
      </c>
      <c r="Y99" s="30" t="str">
        <f ca="1">Sprache!$A$69</f>
        <v>Front</v>
      </c>
      <c r="Z99" s="30">
        <v>400</v>
      </c>
      <c r="AA99" s="28">
        <v>449</v>
      </c>
      <c r="AB99" s="30">
        <v>19</v>
      </c>
      <c r="AC99" s="31">
        <v>1.4</v>
      </c>
      <c r="AD99" s="53">
        <v>3.8</v>
      </c>
      <c r="AE99" s="30" t="s">
        <v>795</v>
      </c>
      <c r="AF99" s="30" t="str">
        <f ca="1">Sprache!$A$101</f>
        <v>Zestaw (prawy+lewy)</v>
      </c>
      <c r="AG99" s="30" t="s">
        <v>26</v>
      </c>
      <c r="AH99" s="30" t="str">
        <f ca="1">Sprache!$A$122</f>
        <v>nastawialna</v>
      </c>
      <c r="AI99" s="30" t="s">
        <v>26</v>
      </c>
      <c r="AJ99" s="30" t="s">
        <v>26</v>
      </c>
      <c r="AK99" s="30">
        <f>'Material+Limits'!$K$9</f>
        <v>200</v>
      </c>
      <c r="AL99" s="28">
        <v>1200</v>
      </c>
      <c r="AM99" s="30"/>
      <c r="AN99" s="28"/>
      <c r="AO99"/>
      <c r="AR99"/>
      <c r="AS99"/>
      <c r="AT99"/>
      <c r="AU99"/>
      <c r="AV99"/>
    </row>
    <row r="100" spans="1:48" s="5" customFormat="1" x14ac:dyDescent="0.25">
      <c r="A100" t="str">
        <f t="shared" ca="1" si="3"/>
        <v/>
      </c>
      <c r="B100" t="str">
        <f t="shared" ca="1" si="2"/>
        <v/>
      </c>
      <c r="C100" s="79">
        <f>IF('Material+Limits'!$P$11=TRUE,1,0)</f>
        <v>0</v>
      </c>
      <c r="D100" s="39">
        <f>IF(Daten!$O100+Daten!$P100+Daten!$R100=3,1,0)</f>
        <v>0</v>
      </c>
      <c r="E100" s="184">
        <f ca="1">IF(AND('Material+Limits'!$Q$21=TRUE,Daten!N100=1)=TRUE,1,0)</f>
        <v>0</v>
      </c>
      <c r="F100" s="185">
        <f>IF(AND('Material+Limits'!$Q$25=TRUE,Daten!M100=1)=TRUE,1,0)</f>
        <v>0</v>
      </c>
      <c r="G100" s="185">
        <f>IF(AND('Material+Limits'!$Q$24=TRUE,Daten!L100=1)=TRUE,1,0)</f>
        <v>0</v>
      </c>
      <c r="H100" s="185">
        <f>IF(AND('Material+Limits'!$Q$23=TRUE,Daten!K100=1)=TRUE,1,0)</f>
        <v>0</v>
      </c>
      <c r="I100" s="185">
        <f>IF(AND('Material+Limits'!$Q$22=TRUE,Daten!J100=1)=TRUE,1,0)</f>
        <v>0</v>
      </c>
      <c r="J100" s="158">
        <f>IF(Daten!$U100=13,1,0)</f>
        <v>0</v>
      </c>
      <c r="K100" s="159">
        <f>IF(Daten!$U100&lt;&gt;Daten!$V100,1,IF(Daten!$U100=14,1,0))</f>
        <v>0</v>
      </c>
      <c r="L100" s="159">
        <f>IF(Daten!$U100&lt;&gt;Daten!$V100,1,IF(Daten!$U100=16,1,0))</f>
        <v>1</v>
      </c>
      <c r="M100" s="159">
        <f>IF(Daten!$V100=17,1,0)</f>
        <v>0</v>
      </c>
      <c r="N100" s="160">
        <f ca="1">IF(Daten!$W100=Sprache!$A$60,1,0)</f>
        <v>0</v>
      </c>
      <c r="O100" s="171">
        <f>IF(AND(Daten!$AK100&lt;=KINVARO!$AW$3,Daten!$AL100&gt;=KINVARO!$AW$3)=TRUE,1,0)</f>
        <v>1</v>
      </c>
      <c r="P100" s="172">
        <f>IF(AND(Daten!$Z100&lt;=KINVARO!$AW$4,Daten!$AA100&gt;=KINVARO!$AW$4)=TRUE,1,0)</f>
        <v>0</v>
      </c>
      <c r="Q100" s="172"/>
      <c r="R100" s="172">
        <f>IF(AND(Daten!$AC100&lt;='Material+Limits'!$I$58,Daten!$AD100&gt;='Material+Limits'!$I$58)=TRUE,1,0)</f>
        <v>0</v>
      </c>
      <c r="S100" s="23">
        <f ca="1">IF(Daten!$X100=Sprache!$A$125,1,0)</f>
        <v>1</v>
      </c>
      <c r="T100" s="24" t="str">
        <f ca="1">Sprache!$A$53</f>
        <v>Podnośnik T-57</v>
      </c>
      <c r="U100" s="27">
        <v>16</v>
      </c>
      <c r="V100" s="23">
        <v>16</v>
      </c>
      <c r="W100" s="25">
        <f ca="1">Sprache!$A$131</f>
        <v>0</v>
      </c>
      <c r="X100" s="25">
        <f ca="1">Sprache!$A$126</f>
        <v>0</v>
      </c>
      <c r="Y100" s="25" t="str">
        <f ca="1">Sprache!$A$69</f>
        <v>Front</v>
      </c>
      <c r="Z100" s="25">
        <v>400</v>
      </c>
      <c r="AA100" s="24">
        <v>449</v>
      </c>
      <c r="AB100" s="25">
        <v>19</v>
      </c>
      <c r="AC100" s="26">
        <v>1.4</v>
      </c>
      <c r="AD100" s="54">
        <v>3.8</v>
      </c>
      <c r="AE100" s="25" t="s">
        <v>796</v>
      </c>
      <c r="AF100" s="25" t="str">
        <f ca="1">Sprache!$A$101</f>
        <v>Zestaw (prawy+lewy)</v>
      </c>
      <c r="AG100" s="25" t="s">
        <v>26</v>
      </c>
      <c r="AH100" s="25" t="str">
        <f ca="1">Sprache!$A$122</f>
        <v>nastawialna</v>
      </c>
      <c r="AI100" s="25" t="s">
        <v>26</v>
      </c>
      <c r="AJ100" s="25" t="s">
        <v>26</v>
      </c>
      <c r="AK100" s="25">
        <f>'Material+Limits'!$K$9</f>
        <v>200</v>
      </c>
      <c r="AL100" s="24">
        <v>1200</v>
      </c>
      <c r="AM100" s="30"/>
      <c r="AN100" s="24"/>
    </row>
    <row r="101" spans="1:48" x14ac:dyDescent="0.25">
      <c r="A101" t="str">
        <f t="shared" ca="1" si="3"/>
        <v/>
      </c>
      <c r="B101" t="str">
        <f t="shared" ca="1" si="2"/>
        <v/>
      </c>
      <c r="C101" s="79">
        <f>IF('Material+Limits'!$P$11=TRUE,1,0)</f>
        <v>0</v>
      </c>
      <c r="D101" s="39">
        <f>IF(Daten!$O101+Daten!$P101+Daten!$R101=3,1,0)</f>
        <v>0</v>
      </c>
      <c r="E101" s="184">
        <f ca="1">IF(AND('Material+Limits'!$Q$21=TRUE,Daten!N101=1)=TRUE,1,0)</f>
        <v>1</v>
      </c>
      <c r="F101" s="185">
        <f ca="1">IF(AND('Material+Limits'!$Q$25=TRUE,Daten!M101=1)=TRUE,1,0)</f>
        <v>0</v>
      </c>
      <c r="G101" s="185">
        <f ca="1">IF(AND('Material+Limits'!$Q$24=TRUE,Daten!L101=1)=TRUE,1,0)</f>
        <v>0</v>
      </c>
      <c r="H101" s="185">
        <f ca="1">IF(AND('Material+Limits'!$Q$23=TRUE,Daten!K101=1)=TRUE,1,0)</f>
        <v>0</v>
      </c>
      <c r="I101" s="185">
        <f ca="1">IF(AND('Material+Limits'!$Q$22=TRUE,Daten!J101=1)=TRUE,1,0)</f>
        <v>0</v>
      </c>
      <c r="J101" s="155">
        <f ca="1">IF(Daten!$U101=13,1,0)</f>
        <v>0</v>
      </c>
      <c r="K101" s="156">
        <f ca="1">IF(Daten!$U101&lt;&gt;Daten!$V101,1,IF(Daten!$U101=14,1,0))</f>
        <v>0</v>
      </c>
      <c r="L101" s="156">
        <f ca="1">IF(Daten!$U101&lt;&gt;Daten!$V101,1,IF(Daten!$U101=16,1,0))</f>
        <v>0</v>
      </c>
      <c r="M101" s="156">
        <f ca="1">IF(Daten!$V101=17,1,0)</f>
        <v>0</v>
      </c>
      <c r="N101" s="157">
        <f ca="1">IF(Daten!$W101=Sprache!$A$60,1,0)</f>
        <v>1</v>
      </c>
      <c r="O101" s="177">
        <f>IF(AND(Daten!$AK101&lt;=KINVARO!$AW$3,Daten!$AL101&gt;=KINVARO!$AW$3)=TRUE,1,0)</f>
        <v>1</v>
      </c>
      <c r="P101" s="178">
        <f>IF(AND(Daten!$Z101&lt;=KINVARO!$AW$4,Daten!$AA101&gt;=KINVARO!$AW$4)=TRUE,1,0)</f>
        <v>0</v>
      </c>
      <c r="Q101" s="178"/>
      <c r="R101" s="178">
        <f>IF(AND(Daten!$AC101&lt;='Material+Limits'!$I$58,Daten!$AD101&gt;='Material+Limits'!$I$58)=TRUE,1,0)</f>
        <v>0</v>
      </c>
      <c r="S101" s="67">
        <f ca="1">IF(Daten!$X101=Sprache!$A$125,1,0)</f>
        <v>1</v>
      </c>
      <c r="T101" s="69" t="str">
        <f ca="1">Sprache!$A$53</f>
        <v>Podnośnik T-57</v>
      </c>
      <c r="U101" s="66">
        <f ca="1">Sprache!$A$64</f>
        <v>0</v>
      </c>
      <c r="V101" s="67">
        <f ca="1">Sprache!$A$64</f>
        <v>0</v>
      </c>
      <c r="W101" s="68" t="str">
        <f ca="1">Sprache!$A$60</f>
        <v>Front lity (drewno/płyta)</v>
      </c>
      <c r="X101" s="30">
        <f ca="1">Sprache!$A$126</f>
        <v>0</v>
      </c>
      <c r="Y101" s="68" t="str">
        <f ca="1">Sprache!$A$69</f>
        <v>Front</v>
      </c>
      <c r="Z101" s="68">
        <v>450</v>
      </c>
      <c r="AA101" s="69">
        <v>499</v>
      </c>
      <c r="AB101" s="68">
        <v>19</v>
      </c>
      <c r="AC101" s="70">
        <v>1.5</v>
      </c>
      <c r="AD101" s="71">
        <v>3.6</v>
      </c>
      <c r="AE101" s="68" t="s">
        <v>794</v>
      </c>
      <c r="AF101" s="68" t="str">
        <f ca="1">Sprache!$A$101</f>
        <v>Zestaw (prawy+lewy)</v>
      </c>
      <c r="AG101" s="68" t="s">
        <v>26</v>
      </c>
      <c r="AH101" s="68" t="str">
        <f ca="1">Sprache!$A$122</f>
        <v>nastawialna</v>
      </c>
      <c r="AI101" s="68" t="s">
        <v>26</v>
      </c>
      <c r="AJ101" s="68" t="s">
        <v>26</v>
      </c>
      <c r="AK101" s="68">
        <f>'Material+Limits'!$K$9</f>
        <v>200</v>
      </c>
      <c r="AL101" s="69">
        <v>1200</v>
      </c>
      <c r="AM101" s="30"/>
      <c r="AN101" s="28"/>
      <c r="AO101"/>
      <c r="AR101"/>
      <c r="AS101"/>
      <c r="AT101"/>
      <c r="AU101"/>
      <c r="AV101"/>
    </row>
    <row r="102" spans="1:48" x14ac:dyDescent="0.25">
      <c r="A102" t="str">
        <f t="shared" ca="1" si="3"/>
        <v/>
      </c>
      <c r="B102" t="str">
        <f t="shared" ca="1" si="2"/>
        <v/>
      </c>
      <c r="C102" s="79">
        <f>IF('Material+Limits'!$P$11=TRUE,1,0)</f>
        <v>0</v>
      </c>
      <c r="D102" s="39">
        <f>IF(Daten!$O102+Daten!$P102+Daten!$R102=3,1,0)</f>
        <v>0</v>
      </c>
      <c r="E102" s="184">
        <f ca="1">IF(AND('Material+Limits'!$Q$21=TRUE,Daten!N102=1)=TRUE,1,0)</f>
        <v>0</v>
      </c>
      <c r="F102" s="185">
        <f>IF(AND('Material+Limits'!$Q$25=TRUE,Daten!M102=1)=TRUE,1,0)</f>
        <v>0</v>
      </c>
      <c r="G102" s="185">
        <f>IF(AND('Material+Limits'!$Q$24=TRUE,Daten!L102=1)=TRUE,1,0)</f>
        <v>0</v>
      </c>
      <c r="H102" s="185">
        <f>IF(AND('Material+Limits'!$Q$23=TRUE,Daten!K102=1)=TRUE,1,0)</f>
        <v>0</v>
      </c>
      <c r="I102" s="185">
        <f>IF(AND('Material+Limits'!$Q$22=TRUE,Daten!J102=1)=TRUE,1,0)</f>
        <v>0</v>
      </c>
      <c r="J102" s="158">
        <f>IF(Daten!$U102=13,1,0)</f>
        <v>0</v>
      </c>
      <c r="K102" s="159">
        <f>IF(Daten!$U102&lt;&gt;Daten!$V102,1,IF(Daten!$U102=14,1,0))</f>
        <v>1</v>
      </c>
      <c r="L102" s="159">
        <f>IF(Daten!$U102&lt;&gt;Daten!$V102,1,IF(Daten!$U102=16,1,0))</f>
        <v>0</v>
      </c>
      <c r="M102" s="159">
        <f>IF(Daten!$V102=17,1,0)</f>
        <v>0</v>
      </c>
      <c r="N102" s="160">
        <f ca="1">IF(Daten!$W102=Sprache!$A$60,1,0)</f>
        <v>0</v>
      </c>
      <c r="O102" s="171">
        <f>IF(AND(Daten!$AK102&lt;=KINVARO!$AW$3,Daten!$AL102&gt;=KINVARO!$AW$3)=TRUE,1,0)</f>
        <v>1</v>
      </c>
      <c r="P102" s="172">
        <f>IF(AND(Daten!$Z102&lt;=KINVARO!$AW$4,Daten!$AA102&gt;=KINVARO!$AW$4)=TRUE,1,0)</f>
        <v>0</v>
      </c>
      <c r="Q102" s="172"/>
      <c r="R102" s="172">
        <f>IF(AND(Daten!$AC102&lt;='Material+Limits'!$I$58,Daten!$AD102&gt;='Material+Limits'!$I$58)=TRUE,1,0)</f>
        <v>0</v>
      </c>
      <c r="S102" s="23">
        <f ca="1">IF(Daten!$X102=Sprache!$A$125,1,0)</f>
        <v>1</v>
      </c>
      <c r="T102" s="24" t="str">
        <f ca="1">Sprache!$A$53</f>
        <v>Podnośnik T-57</v>
      </c>
      <c r="U102" s="27">
        <v>14</v>
      </c>
      <c r="V102" s="23">
        <v>14</v>
      </c>
      <c r="W102" s="25">
        <f ca="1">Sprache!$A$131</f>
        <v>0</v>
      </c>
      <c r="X102" s="25">
        <f ca="1">Sprache!$A$126</f>
        <v>0</v>
      </c>
      <c r="Y102" s="25" t="str">
        <f ca="1">Sprache!$A$69</f>
        <v>Front</v>
      </c>
      <c r="Z102" s="25">
        <v>450</v>
      </c>
      <c r="AA102" s="24">
        <v>499</v>
      </c>
      <c r="AB102" s="25">
        <v>19</v>
      </c>
      <c r="AC102" s="26">
        <v>1.5</v>
      </c>
      <c r="AD102" s="54">
        <v>3.6</v>
      </c>
      <c r="AE102" s="25" t="s">
        <v>795</v>
      </c>
      <c r="AF102" s="25" t="str">
        <f ca="1">Sprache!$A$101</f>
        <v>Zestaw (prawy+lewy)</v>
      </c>
      <c r="AG102" s="25" t="s">
        <v>26</v>
      </c>
      <c r="AH102" s="25" t="str">
        <f ca="1">Sprache!$A$122</f>
        <v>nastawialna</v>
      </c>
      <c r="AI102" s="25" t="s">
        <v>26</v>
      </c>
      <c r="AJ102" s="25" t="s">
        <v>26</v>
      </c>
      <c r="AK102" s="25">
        <f>'Material+Limits'!$K$9</f>
        <v>200</v>
      </c>
      <c r="AL102" s="24">
        <v>1200</v>
      </c>
      <c r="AM102" s="30"/>
      <c r="AN102" s="24"/>
      <c r="AO102"/>
      <c r="AR102"/>
      <c r="AS102"/>
      <c r="AT102"/>
      <c r="AU102"/>
      <c r="AV102"/>
    </row>
    <row r="103" spans="1:48" s="5" customFormat="1" x14ac:dyDescent="0.25">
      <c r="A103" t="str">
        <f t="shared" ca="1" si="3"/>
        <v/>
      </c>
      <c r="B103" t="str">
        <f t="shared" ca="1" si="2"/>
        <v/>
      </c>
      <c r="C103" s="79">
        <f>IF('Material+Limits'!$P$11=TRUE,1,0)</f>
        <v>0</v>
      </c>
      <c r="D103" s="39">
        <f>IF(Daten!$O103+Daten!$P103+Daten!$R103=3,1,0)</f>
        <v>0</v>
      </c>
      <c r="E103" s="184">
        <f ca="1">IF(AND('Material+Limits'!$Q$21=TRUE,Daten!N103=1)=TRUE,1,0)</f>
        <v>0</v>
      </c>
      <c r="F103" s="185">
        <f>IF(AND('Material+Limits'!$Q$25=TRUE,Daten!M103=1)=TRUE,1,0)</f>
        <v>0</v>
      </c>
      <c r="G103" s="185">
        <f>IF(AND('Material+Limits'!$Q$24=TRUE,Daten!L103=1)=TRUE,1,0)</f>
        <v>0</v>
      </c>
      <c r="H103" s="185">
        <f>IF(AND('Material+Limits'!$Q$23=TRUE,Daten!K103=1)=TRUE,1,0)</f>
        <v>0</v>
      </c>
      <c r="I103" s="185">
        <f>IF(AND('Material+Limits'!$Q$22=TRUE,Daten!J103=1)=TRUE,1,0)</f>
        <v>0</v>
      </c>
      <c r="J103" s="155">
        <f>IF(Daten!$U103=13,1,0)</f>
        <v>0</v>
      </c>
      <c r="K103" s="156">
        <f>IF(Daten!$U103&lt;&gt;Daten!$V103,1,IF(Daten!$U103=14,1,0))</f>
        <v>0</v>
      </c>
      <c r="L103" s="156">
        <f>IF(Daten!$U103&lt;&gt;Daten!$V103,1,IF(Daten!$U103=16,1,0))</f>
        <v>1</v>
      </c>
      <c r="M103" s="156">
        <f>IF(Daten!$V103=17,1,0)</f>
        <v>0</v>
      </c>
      <c r="N103" s="157">
        <f ca="1">IF(Daten!$W103=Sprache!$A$60,1,0)</f>
        <v>0</v>
      </c>
      <c r="O103" s="169">
        <f>IF(AND(Daten!$AK103&lt;=KINVARO!$AW$3,Daten!$AL103&gt;=KINVARO!$AW$3)=TRUE,1,0)</f>
        <v>1</v>
      </c>
      <c r="P103" s="170">
        <f>IF(AND(Daten!$Z103&lt;=KINVARO!$AW$4,Daten!$AA103&gt;=KINVARO!$AW$4)=TRUE,1,0)</f>
        <v>0</v>
      </c>
      <c r="Q103" s="170"/>
      <c r="R103" s="170">
        <f>IF(AND(Daten!$AC103&lt;='Material+Limits'!$I$58,Daten!$AD103&gt;='Material+Limits'!$I$58)=TRUE,1,0)</f>
        <v>0</v>
      </c>
      <c r="S103" s="29">
        <f ca="1">IF(Daten!$X103=Sprache!$A$125,1,0)</f>
        <v>1</v>
      </c>
      <c r="T103" s="28" t="str">
        <f ca="1">Sprache!$A$53</f>
        <v>Podnośnik T-57</v>
      </c>
      <c r="U103" s="32">
        <v>16</v>
      </c>
      <c r="V103" s="29">
        <v>16</v>
      </c>
      <c r="W103" s="30">
        <f ca="1">Sprache!$A$131</f>
        <v>0</v>
      </c>
      <c r="X103" s="30">
        <f ca="1">Sprache!$A$126</f>
        <v>0</v>
      </c>
      <c r="Y103" s="30" t="str">
        <f ca="1">Sprache!$A$69</f>
        <v>Front</v>
      </c>
      <c r="Z103" s="30">
        <v>450</v>
      </c>
      <c r="AA103" s="28">
        <v>499</v>
      </c>
      <c r="AB103" s="30">
        <v>19</v>
      </c>
      <c r="AC103" s="31">
        <v>1.5</v>
      </c>
      <c r="AD103" s="53">
        <v>3.6</v>
      </c>
      <c r="AE103" s="30" t="s">
        <v>796</v>
      </c>
      <c r="AF103" s="30" t="str">
        <f ca="1">Sprache!$A$101</f>
        <v>Zestaw (prawy+lewy)</v>
      </c>
      <c r="AG103" s="30" t="s">
        <v>26</v>
      </c>
      <c r="AH103" s="30" t="str">
        <f ca="1">Sprache!$A$122</f>
        <v>nastawialna</v>
      </c>
      <c r="AI103" s="30" t="s">
        <v>26</v>
      </c>
      <c r="AJ103" s="30" t="s">
        <v>26</v>
      </c>
      <c r="AK103" s="30">
        <f>'Material+Limits'!$K$9</f>
        <v>200</v>
      </c>
      <c r="AL103" s="28">
        <v>1200</v>
      </c>
      <c r="AM103" s="30"/>
      <c r="AN103" s="28"/>
    </row>
    <row r="104" spans="1:48" x14ac:dyDescent="0.25">
      <c r="A104" t="str">
        <f t="shared" ca="1" si="3"/>
        <v/>
      </c>
      <c r="B104" t="str">
        <f t="shared" ca="1" si="2"/>
        <v/>
      </c>
      <c r="C104" s="79">
        <f>IF('Material+Limits'!$P$11=TRUE,1,0)</f>
        <v>0</v>
      </c>
      <c r="D104" s="39">
        <f>IF(Daten!$O104+Daten!$P104+Daten!$R104=3,1,0)</f>
        <v>0</v>
      </c>
      <c r="E104" s="184">
        <f ca="1">IF(AND('Material+Limits'!$Q$21=TRUE,Daten!N104=1)=TRUE,1,0)</f>
        <v>1</v>
      </c>
      <c r="F104" s="185">
        <f ca="1">IF(AND('Material+Limits'!$Q$25=TRUE,Daten!M104=1)=TRUE,1,0)</f>
        <v>0</v>
      </c>
      <c r="G104" s="185">
        <f ca="1">IF(AND('Material+Limits'!$Q$24=TRUE,Daten!L104=1)=TRUE,1,0)</f>
        <v>0</v>
      </c>
      <c r="H104" s="185">
        <f ca="1">IF(AND('Material+Limits'!$Q$23=TRUE,Daten!K104=1)=TRUE,1,0)</f>
        <v>0</v>
      </c>
      <c r="I104" s="185">
        <f ca="1">IF(AND('Material+Limits'!$Q$22=TRUE,Daten!J104=1)=TRUE,1,0)</f>
        <v>0</v>
      </c>
      <c r="J104" s="158">
        <f ca="1">IF(Daten!$U104=13,1,0)</f>
        <v>0</v>
      </c>
      <c r="K104" s="159">
        <f ca="1">IF(Daten!$U104&lt;&gt;Daten!$V104,1,IF(Daten!$U104=14,1,0))</f>
        <v>0</v>
      </c>
      <c r="L104" s="159">
        <f ca="1">IF(Daten!$U104&lt;&gt;Daten!$V104,1,IF(Daten!$U104=16,1,0))</f>
        <v>0</v>
      </c>
      <c r="M104" s="159">
        <f ca="1">IF(Daten!$V104=17,1,0)</f>
        <v>0</v>
      </c>
      <c r="N104" s="160">
        <f ca="1">IF(Daten!$W104=Sprache!$A$60,1,0)</f>
        <v>1</v>
      </c>
      <c r="O104" s="173">
        <f>IF(AND(Daten!$AK104&lt;=KINVARO!$AW$3,Daten!$AL104&gt;=KINVARO!$AW$3)=TRUE,1,0)</f>
        <v>1</v>
      </c>
      <c r="P104" s="174">
        <f>IF(AND(Daten!$Z104&lt;=KINVARO!$AW$4,Daten!$AA104&gt;=KINVARO!$AW$4)=TRUE,1,0)</f>
        <v>0</v>
      </c>
      <c r="Q104" s="174"/>
      <c r="R104" s="174">
        <f>IF(AND(Daten!$AC104&lt;='Material+Limits'!$I$58,Daten!$AD104&gt;='Material+Limits'!$I$58)=TRUE,1,0)</f>
        <v>0</v>
      </c>
      <c r="S104" s="38">
        <f ca="1">IF(Daten!$X104=Sprache!$A$125,1,0)</f>
        <v>1</v>
      </c>
      <c r="T104" s="57" t="str">
        <f ca="1">Sprache!$A$53</f>
        <v>Podnośnik T-57</v>
      </c>
      <c r="U104" s="55">
        <f ca="1">Sprache!$A$64</f>
        <v>0</v>
      </c>
      <c r="V104" s="38">
        <f ca="1">Sprache!$A$64</f>
        <v>0</v>
      </c>
      <c r="W104" s="56" t="str">
        <f ca="1">Sprache!$A$60</f>
        <v>Front lity (drewno/płyta)</v>
      </c>
      <c r="X104" s="25">
        <f ca="1">Sprache!$A$126</f>
        <v>0</v>
      </c>
      <c r="Y104" s="56" t="str">
        <f ca="1">Sprache!$A$69</f>
        <v>Front</v>
      </c>
      <c r="Z104" s="56">
        <v>500</v>
      </c>
      <c r="AA104" s="57">
        <v>549</v>
      </c>
      <c r="AB104" s="56">
        <v>19</v>
      </c>
      <c r="AC104" s="58">
        <v>1.7</v>
      </c>
      <c r="AD104" s="59">
        <v>2.9</v>
      </c>
      <c r="AE104" s="56" t="s">
        <v>794</v>
      </c>
      <c r="AF104" s="56" t="str">
        <f ca="1">Sprache!$A$101</f>
        <v>Zestaw (prawy+lewy)</v>
      </c>
      <c r="AG104" s="56" t="s">
        <v>26</v>
      </c>
      <c r="AH104" s="56" t="str">
        <f ca="1">Sprache!$A$122</f>
        <v>nastawialna</v>
      </c>
      <c r="AI104" s="25" t="s">
        <v>26</v>
      </c>
      <c r="AJ104" s="25" t="s">
        <v>26</v>
      </c>
      <c r="AK104" s="56">
        <f>'Material+Limits'!$K$9</f>
        <v>200</v>
      </c>
      <c r="AL104" s="57">
        <v>1200</v>
      </c>
      <c r="AM104" s="30"/>
      <c r="AN104" s="24"/>
      <c r="AO104"/>
      <c r="AR104"/>
      <c r="AS104"/>
      <c r="AT104"/>
      <c r="AU104"/>
      <c r="AV104"/>
    </row>
    <row r="105" spans="1:48" x14ac:dyDescent="0.25">
      <c r="A105" t="str">
        <f t="shared" ca="1" si="3"/>
        <v/>
      </c>
      <c r="B105" t="str">
        <f t="shared" ca="1" si="2"/>
        <v/>
      </c>
      <c r="C105" s="79">
        <f>IF('Material+Limits'!$P$11=TRUE,1,0)</f>
        <v>0</v>
      </c>
      <c r="D105" s="39">
        <f>IF(Daten!$O105+Daten!$P105+Daten!$R105=3,1,0)</f>
        <v>0</v>
      </c>
      <c r="E105" s="184">
        <f ca="1">IF(AND('Material+Limits'!$Q$21=TRUE,Daten!N105=1)=TRUE,1,0)</f>
        <v>0</v>
      </c>
      <c r="F105" s="185">
        <f>IF(AND('Material+Limits'!$Q$25=TRUE,Daten!M105=1)=TRUE,1,0)</f>
        <v>0</v>
      </c>
      <c r="G105" s="185">
        <f>IF(AND('Material+Limits'!$Q$24=TRUE,Daten!L105=1)=TRUE,1,0)</f>
        <v>0</v>
      </c>
      <c r="H105" s="185">
        <f>IF(AND('Material+Limits'!$Q$23=TRUE,Daten!K105=1)=TRUE,1,0)</f>
        <v>0</v>
      </c>
      <c r="I105" s="185">
        <f>IF(AND('Material+Limits'!$Q$22=TRUE,Daten!J105=1)=TRUE,1,0)</f>
        <v>0</v>
      </c>
      <c r="J105" s="155">
        <f>IF(Daten!$U105=13,1,0)</f>
        <v>0</v>
      </c>
      <c r="K105" s="156">
        <f>IF(Daten!$U105&lt;&gt;Daten!$V105,1,IF(Daten!$U105=14,1,0))</f>
        <v>1</v>
      </c>
      <c r="L105" s="156">
        <f>IF(Daten!$U105&lt;&gt;Daten!$V105,1,IF(Daten!$U105=16,1,0))</f>
        <v>0</v>
      </c>
      <c r="M105" s="156">
        <f>IF(Daten!$V105=17,1,0)</f>
        <v>0</v>
      </c>
      <c r="N105" s="157">
        <f ca="1">IF(Daten!$W105=Sprache!$A$60,1,0)</f>
        <v>0</v>
      </c>
      <c r="O105" s="169">
        <f>IF(AND(Daten!$AK105&lt;=KINVARO!$AW$3,Daten!$AL105&gt;=KINVARO!$AW$3)=TRUE,1,0)</f>
        <v>1</v>
      </c>
      <c r="P105" s="170">
        <f>IF(AND(Daten!$Z105&lt;=KINVARO!$AW$4,Daten!$AA105&gt;=KINVARO!$AW$4)=TRUE,1,0)</f>
        <v>0</v>
      </c>
      <c r="R105" s="170">
        <f>IF(AND(Daten!$AC105&lt;='Material+Limits'!$I$58,Daten!$AD105&gt;='Material+Limits'!$I$58)=TRUE,1,0)</f>
        <v>0</v>
      </c>
      <c r="S105" s="29">
        <f ca="1">IF(Daten!$X105=Sprache!$A$125,1,0)</f>
        <v>1</v>
      </c>
      <c r="T105" s="28" t="str">
        <f ca="1">Sprache!$A$53</f>
        <v>Podnośnik T-57</v>
      </c>
      <c r="U105" s="32">
        <v>14</v>
      </c>
      <c r="V105" s="29">
        <v>14</v>
      </c>
      <c r="W105" s="30">
        <f ca="1">Sprache!$A$131</f>
        <v>0</v>
      </c>
      <c r="X105" s="30">
        <f ca="1">Sprache!$A$126</f>
        <v>0</v>
      </c>
      <c r="Y105" s="30" t="str">
        <f ca="1">Sprache!$A$69</f>
        <v>Front</v>
      </c>
      <c r="Z105" s="30">
        <v>500</v>
      </c>
      <c r="AA105" s="28">
        <v>549</v>
      </c>
      <c r="AB105" s="30">
        <v>19</v>
      </c>
      <c r="AC105" s="31">
        <v>1.7</v>
      </c>
      <c r="AD105" s="53">
        <v>2.9</v>
      </c>
      <c r="AE105" s="30" t="s">
        <v>795</v>
      </c>
      <c r="AF105" s="30" t="str">
        <f ca="1">Sprache!$A$101</f>
        <v>Zestaw (prawy+lewy)</v>
      </c>
      <c r="AG105" s="30" t="s">
        <v>26</v>
      </c>
      <c r="AH105" s="30" t="str">
        <f ca="1">Sprache!$A$122</f>
        <v>nastawialna</v>
      </c>
      <c r="AI105" s="30" t="s">
        <v>26</v>
      </c>
      <c r="AJ105" s="30" t="s">
        <v>26</v>
      </c>
      <c r="AK105" s="30">
        <f>'Material+Limits'!$K$9</f>
        <v>200</v>
      </c>
      <c r="AL105" s="28">
        <v>1200</v>
      </c>
      <c r="AM105" s="30"/>
      <c r="AN105" s="28"/>
      <c r="AO105"/>
      <c r="AR105"/>
      <c r="AS105"/>
      <c r="AT105"/>
      <c r="AU105"/>
      <c r="AV105"/>
    </row>
    <row r="106" spans="1:48" s="5" customFormat="1" x14ac:dyDescent="0.25">
      <c r="A106" t="str">
        <f t="shared" ca="1" si="3"/>
        <v/>
      </c>
      <c r="B106" t="str">
        <f t="shared" ca="1" si="2"/>
        <v/>
      </c>
      <c r="C106" s="79">
        <f>IF('Material+Limits'!$P$11=TRUE,1,0)</f>
        <v>0</v>
      </c>
      <c r="D106" s="39">
        <f>IF(Daten!$O106+Daten!$P106+Daten!$R106=3,1,0)</f>
        <v>0</v>
      </c>
      <c r="E106" s="184">
        <f ca="1">IF(AND('Material+Limits'!$Q$21=TRUE,Daten!N106=1)=TRUE,1,0)</f>
        <v>0</v>
      </c>
      <c r="F106" s="185">
        <f>IF(AND('Material+Limits'!$Q$25=TRUE,Daten!M106=1)=TRUE,1,0)</f>
        <v>0</v>
      </c>
      <c r="G106" s="185">
        <f>IF(AND('Material+Limits'!$Q$24=TRUE,Daten!L106=1)=TRUE,1,0)</f>
        <v>0</v>
      </c>
      <c r="H106" s="185">
        <f>IF(AND('Material+Limits'!$Q$23=TRUE,Daten!K106=1)=TRUE,1,0)</f>
        <v>0</v>
      </c>
      <c r="I106" s="185">
        <f>IF(AND('Material+Limits'!$Q$22=TRUE,Daten!J106=1)=TRUE,1,0)</f>
        <v>0</v>
      </c>
      <c r="J106" s="158">
        <f>IF(Daten!$U106=13,1,0)</f>
        <v>0</v>
      </c>
      <c r="K106" s="159">
        <f>IF(Daten!$U106&lt;&gt;Daten!$V106,1,IF(Daten!$U106=14,1,0))</f>
        <v>0</v>
      </c>
      <c r="L106" s="159">
        <f>IF(Daten!$U106&lt;&gt;Daten!$V106,1,IF(Daten!$U106=16,1,0))</f>
        <v>1</v>
      </c>
      <c r="M106" s="159">
        <f>IF(Daten!$V106=17,1,0)</f>
        <v>0</v>
      </c>
      <c r="N106" s="160">
        <f ca="1">IF(Daten!$W106=Sprache!$A$60,1,0)</f>
        <v>0</v>
      </c>
      <c r="O106" s="171">
        <f>IF(AND(Daten!$AK106&lt;=KINVARO!$AW$3,Daten!$AL106&gt;=KINVARO!$AW$3)=TRUE,1,0)</f>
        <v>1</v>
      </c>
      <c r="P106" s="172">
        <f>IF(AND(Daten!$Z106&lt;=KINVARO!$AW$4,Daten!$AA106&gt;=KINVARO!$AW$4)=TRUE,1,0)</f>
        <v>0</v>
      </c>
      <c r="Q106" s="172"/>
      <c r="R106" s="172">
        <f>IF(AND(Daten!$AC106&lt;='Material+Limits'!$I$58,Daten!$AD106&gt;='Material+Limits'!$I$58)=TRUE,1,0)</f>
        <v>0</v>
      </c>
      <c r="S106" s="23">
        <f ca="1">IF(Daten!$X106=Sprache!$A$125,1,0)</f>
        <v>1</v>
      </c>
      <c r="T106" s="24" t="str">
        <f ca="1">Sprache!$A$53</f>
        <v>Podnośnik T-57</v>
      </c>
      <c r="U106" s="27">
        <v>16</v>
      </c>
      <c r="V106" s="23">
        <v>16</v>
      </c>
      <c r="W106" s="25">
        <f ca="1">Sprache!$A$131</f>
        <v>0</v>
      </c>
      <c r="X106" s="25">
        <f ca="1">Sprache!$A$126</f>
        <v>0</v>
      </c>
      <c r="Y106" s="25" t="str">
        <f ca="1">Sprache!$A$69</f>
        <v>Front</v>
      </c>
      <c r="Z106" s="25">
        <v>500</v>
      </c>
      <c r="AA106" s="24">
        <v>549</v>
      </c>
      <c r="AB106" s="25">
        <v>19</v>
      </c>
      <c r="AC106" s="26">
        <v>1.7</v>
      </c>
      <c r="AD106" s="54">
        <v>2.9</v>
      </c>
      <c r="AE106" s="25" t="s">
        <v>796</v>
      </c>
      <c r="AF106" s="25" t="str">
        <f ca="1">Sprache!$A$101</f>
        <v>Zestaw (prawy+lewy)</v>
      </c>
      <c r="AG106" s="25" t="s">
        <v>26</v>
      </c>
      <c r="AH106" s="25" t="str">
        <f ca="1">Sprache!$A$122</f>
        <v>nastawialna</v>
      </c>
      <c r="AI106" s="25" t="s">
        <v>26</v>
      </c>
      <c r="AJ106" s="25" t="s">
        <v>26</v>
      </c>
      <c r="AK106" s="25">
        <f>'Material+Limits'!$K$9</f>
        <v>200</v>
      </c>
      <c r="AL106" s="24">
        <v>1200</v>
      </c>
      <c r="AM106" s="30"/>
      <c r="AN106" s="24"/>
    </row>
    <row r="107" spans="1:48" x14ac:dyDescent="0.25">
      <c r="A107" t="str">
        <f t="shared" ca="1" si="3"/>
        <v/>
      </c>
      <c r="B107" t="str">
        <f t="shared" ca="1" si="2"/>
        <v/>
      </c>
      <c r="C107" s="79">
        <f>IF('Material+Limits'!$P$11=TRUE,1,0)</f>
        <v>0</v>
      </c>
      <c r="D107" s="39">
        <f>IF(Daten!$O107+Daten!$P107+Daten!$R107=3,1,0)</f>
        <v>0</v>
      </c>
      <c r="E107" s="184">
        <f ca="1">IF(AND('Material+Limits'!$Q$21=TRUE,Daten!N107=1)=TRUE,1,0)</f>
        <v>1</v>
      </c>
      <c r="F107" s="185">
        <f ca="1">IF(AND('Material+Limits'!$Q$25=TRUE,Daten!M107=1)=TRUE,1,0)</f>
        <v>0</v>
      </c>
      <c r="G107" s="185">
        <f ca="1">IF(AND('Material+Limits'!$Q$24=TRUE,Daten!L107=1)=TRUE,1,0)</f>
        <v>0</v>
      </c>
      <c r="H107" s="185">
        <f ca="1">IF(AND('Material+Limits'!$Q$23=TRUE,Daten!K107=1)=TRUE,1,0)</f>
        <v>0</v>
      </c>
      <c r="I107" s="185">
        <f ca="1">IF(AND('Material+Limits'!$Q$22=TRUE,Daten!J107=1)=TRUE,1,0)</f>
        <v>0</v>
      </c>
      <c r="J107" s="155">
        <f ca="1">IF(Daten!$U107=13,1,0)</f>
        <v>0</v>
      </c>
      <c r="K107" s="156">
        <f ca="1">IF(Daten!$U107&lt;&gt;Daten!$V107,1,IF(Daten!$U107=14,1,0))</f>
        <v>0</v>
      </c>
      <c r="L107" s="156">
        <f ca="1">IF(Daten!$U107&lt;&gt;Daten!$V107,1,IF(Daten!$U107=16,1,0))</f>
        <v>0</v>
      </c>
      <c r="M107" s="156">
        <f ca="1">IF(Daten!$V107=17,1,0)</f>
        <v>0</v>
      </c>
      <c r="N107" s="157">
        <f ca="1">IF(Daten!$W107=Sprache!$A$60,1,0)</f>
        <v>1</v>
      </c>
      <c r="O107" s="177">
        <f>IF(AND(Daten!$AK107&lt;=KINVARO!$AW$3,Daten!$AL107&gt;=KINVARO!$AW$3)=TRUE,1,0)</f>
        <v>1</v>
      </c>
      <c r="P107" s="178">
        <f>IF(AND(Daten!$Z107&lt;=KINVARO!$AW$4,Daten!$AA107&gt;=KINVARO!$AW$4)=TRUE,1,0)</f>
        <v>1</v>
      </c>
      <c r="Q107" s="178"/>
      <c r="R107" s="178">
        <f>IF(AND(Daten!$AC107&lt;='Material+Limits'!$I$58,Daten!$AD107&gt;='Material+Limits'!$I$58)=TRUE,1,0)</f>
        <v>0</v>
      </c>
      <c r="S107" s="67">
        <f ca="1">IF(Daten!$X107=Sprache!$A$125,1,0)</f>
        <v>1</v>
      </c>
      <c r="T107" s="69" t="str">
        <f ca="1">Sprache!$A$53</f>
        <v>Podnośnik T-57</v>
      </c>
      <c r="U107" s="66">
        <f ca="1">Sprache!$A$64</f>
        <v>0</v>
      </c>
      <c r="V107" s="67">
        <f ca="1">Sprache!$A$64</f>
        <v>0</v>
      </c>
      <c r="W107" s="68" t="str">
        <f ca="1">Sprache!$A$60</f>
        <v>Front lity (drewno/płyta)</v>
      </c>
      <c r="X107" s="30">
        <f ca="1">Sprache!$A$126</f>
        <v>0</v>
      </c>
      <c r="Y107" s="68" t="str">
        <f ca="1">Sprache!$A$69</f>
        <v>Front</v>
      </c>
      <c r="Z107" s="68">
        <v>550</v>
      </c>
      <c r="AA107" s="69">
        <v>599</v>
      </c>
      <c r="AB107" s="68">
        <v>19</v>
      </c>
      <c r="AC107" s="70">
        <v>1.9</v>
      </c>
      <c r="AD107" s="71">
        <v>2.7</v>
      </c>
      <c r="AE107" s="68" t="s">
        <v>794</v>
      </c>
      <c r="AF107" s="68" t="str">
        <f ca="1">Sprache!$A$101</f>
        <v>Zestaw (prawy+lewy)</v>
      </c>
      <c r="AG107" s="68" t="s">
        <v>26</v>
      </c>
      <c r="AH107" s="68" t="str">
        <f ca="1">Sprache!$A$122</f>
        <v>nastawialna</v>
      </c>
      <c r="AI107" s="30" t="s">
        <v>26</v>
      </c>
      <c r="AJ107" s="30" t="s">
        <v>26</v>
      </c>
      <c r="AK107" s="68">
        <f>'Material+Limits'!$K$9</f>
        <v>200</v>
      </c>
      <c r="AL107" s="69">
        <v>1200</v>
      </c>
      <c r="AM107" s="30"/>
      <c r="AN107" s="28"/>
      <c r="AO107"/>
      <c r="AR107"/>
      <c r="AS107"/>
      <c r="AT107"/>
      <c r="AU107"/>
      <c r="AV107"/>
    </row>
    <row r="108" spans="1:48" x14ac:dyDescent="0.25">
      <c r="A108" t="str">
        <f t="shared" ca="1" si="3"/>
        <v/>
      </c>
      <c r="B108" t="str">
        <f t="shared" ca="1" si="2"/>
        <v/>
      </c>
      <c r="C108" s="79">
        <f>IF('Material+Limits'!$P$11=TRUE,1,0)</f>
        <v>0</v>
      </c>
      <c r="D108" s="39">
        <f>IF(Daten!$O108+Daten!$P108+Daten!$R108=3,1,0)</f>
        <v>0</v>
      </c>
      <c r="E108" s="184">
        <f ca="1">IF(AND('Material+Limits'!$Q$21=TRUE,Daten!N108=1)=TRUE,1,0)</f>
        <v>0</v>
      </c>
      <c r="F108" s="185">
        <f>IF(AND('Material+Limits'!$Q$25=TRUE,Daten!M108=1)=TRUE,1,0)</f>
        <v>0</v>
      </c>
      <c r="G108" s="185">
        <f>IF(AND('Material+Limits'!$Q$24=TRUE,Daten!L108=1)=TRUE,1,0)</f>
        <v>0</v>
      </c>
      <c r="H108" s="185">
        <f>IF(AND('Material+Limits'!$Q$23=TRUE,Daten!K108=1)=TRUE,1,0)</f>
        <v>0</v>
      </c>
      <c r="I108" s="185">
        <f>IF(AND('Material+Limits'!$Q$22=TRUE,Daten!J108=1)=TRUE,1,0)</f>
        <v>0</v>
      </c>
      <c r="J108" s="158">
        <f>IF(Daten!$U108=13,1,0)</f>
        <v>0</v>
      </c>
      <c r="K108" s="159">
        <f>IF(Daten!$U108&lt;&gt;Daten!$V108,1,IF(Daten!$U108=14,1,0))</f>
        <v>1</v>
      </c>
      <c r="L108" s="159">
        <f>IF(Daten!$U108&lt;&gt;Daten!$V108,1,IF(Daten!$U108=16,1,0))</f>
        <v>0</v>
      </c>
      <c r="M108" s="159">
        <f>IF(Daten!$V108=17,1,0)</f>
        <v>0</v>
      </c>
      <c r="N108" s="160">
        <f ca="1">IF(Daten!$W108=Sprache!$A$60,1,0)</f>
        <v>0</v>
      </c>
      <c r="O108" s="171">
        <f>IF(AND(Daten!$AK108&lt;=KINVARO!$AW$3,Daten!$AL108&gt;=KINVARO!$AW$3)=TRUE,1,0)</f>
        <v>1</v>
      </c>
      <c r="P108" s="172">
        <f>IF(AND(Daten!$Z108&lt;=KINVARO!$AW$4,Daten!$AA108&gt;=KINVARO!$AW$4)=TRUE,1,0)</f>
        <v>1</v>
      </c>
      <c r="Q108" s="172"/>
      <c r="R108" s="172">
        <f>IF(AND(Daten!$AC108&lt;='Material+Limits'!$I$58,Daten!$AD108&gt;='Material+Limits'!$I$58)=TRUE,1,0)</f>
        <v>0</v>
      </c>
      <c r="S108" s="23">
        <f ca="1">IF(Daten!$X108=Sprache!$A$125,1,0)</f>
        <v>1</v>
      </c>
      <c r="T108" s="24" t="str">
        <f ca="1">Sprache!$A$53</f>
        <v>Podnośnik T-57</v>
      </c>
      <c r="U108" s="27">
        <v>14</v>
      </c>
      <c r="V108" s="23">
        <v>14</v>
      </c>
      <c r="W108" s="25">
        <f ca="1">Sprache!$A$131</f>
        <v>0</v>
      </c>
      <c r="X108" s="25">
        <f ca="1">Sprache!$A$126</f>
        <v>0</v>
      </c>
      <c r="Y108" s="25" t="str">
        <f ca="1">Sprache!$A$69</f>
        <v>Front</v>
      </c>
      <c r="Z108" s="25">
        <v>550</v>
      </c>
      <c r="AA108" s="24">
        <v>599</v>
      </c>
      <c r="AB108" s="25">
        <v>19</v>
      </c>
      <c r="AC108" s="26">
        <v>1.9</v>
      </c>
      <c r="AD108" s="54">
        <v>2.7</v>
      </c>
      <c r="AE108" s="25" t="s">
        <v>795</v>
      </c>
      <c r="AF108" s="25" t="str">
        <f ca="1">Sprache!$A$101</f>
        <v>Zestaw (prawy+lewy)</v>
      </c>
      <c r="AG108" s="25" t="s">
        <v>26</v>
      </c>
      <c r="AH108" s="25" t="str">
        <f ca="1">Sprache!$A$122</f>
        <v>nastawialna</v>
      </c>
      <c r="AI108" s="25" t="s">
        <v>26</v>
      </c>
      <c r="AJ108" s="25" t="s">
        <v>26</v>
      </c>
      <c r="AK108" s="25">
        <f>'Material+Limits'!$K$9</f>
        <v>200</v>
      </c>
      <c r="AL108" s="24">
        <v>1200</v>
      </c>
      <c r="AM108" s="30"/>
      <c r="AN108" s="24"/>
      <c r="AO108"/>
      <c r="AR108"/>
      <c r="AS108"/>
      <c r="AT108"/>
      <c r="AU108"/>
      <c r="AV108"/>
    </row>
    <row r="109" spans="1:48" s="5" customFormat="1" x14ac:dyDescent="0.25">
      <c r="A109" t="str">
        <f t="shared" ca="1" si="3"/>
        <v/>
      </c>
      <c r="B109" t="str">
        <f t="shared" ca="1" si="2"/>
        <v/>
      </c>
      <c r="C109" s="79">
        <f>IF('Material+Limits'!$P$11=TRUE,1,0)</f>
        <v>0</v>
      </c>
      <c r="D109" s="39">
        <f>IF(Daten!$O109+Daten!$P109+Daten!$R109=3,1,0)</f>
        <v>0</v>
      </c>
      <c r="E109" s="184">
        <f ca="1">IF(AND('Material+Limits'!$Q$21=TRUE,Daten!N109=1)=TRUE,1,0)</f>
        <v>0</v>
      </c>
      <c r="F109" s="185">
        <f>IF(AND('Material+Limits'!$Q$25=TRUE,Daten!M109=1)=TRUE,1,0)</f>
        <v>0</v>
      </c>
      <c r="G109" s="185">
        <f>IF(AND('Material+Limits'!$Q$24=TRUE,Daten!L109=1)=TRUE,1,0)</f>
        <v>0</v>
      </c>
      <c r="H109" s="185">
        <f>IF(AND('Material+Limits'!$Q$23=TRUE,Daten!K109=1)=TRUE,1,0)</f>
        <v>0</v>
      </c>
      <c r="I109" s="185">
        <f>IF(AND('Material+Limits'!$Q$22=TRUE,Daten!J109=1)=TRUE,1,0)</f>
        <v>0</v>
      </c>
      <c r="J109" s="155">
        <f>IF(Daten!$U109=13,1,0)</f>
        <v>0</v>
      </c>
      <c r="K109" s="156">
        <f>IF(Daten!$U109&lt;&gt;Daten!$V109,1,IF(Daten!$U109=14,1,0))</f>
        <v>0</v>
      </c>
      <c r="L109" s="156">
        <f>IF(Daten!$U109&lt;&gt;Daten!$V109,1,IF(Daten!$U109=16,1,0))</f>
        <v>1</v>
      </c>
      <c r="M109" s="156">
        <f>IF(Daten!$V109=17,1,0)</f>
        <v>0</v>
      </c>
      <c r="N109" s="157">
        <f ca="1">IF(Daten!$W109=Sprache!$A$60,1,0)</f>
        <v>0</v>
      </c>
      <c r="O109" s="169">
        <f>IF(AND(Daten!$AK109&lt;=KINVARO!$AW$3,Daten!$AL109&gt;=KINVARO!$AW$3)=TRUE,1,0)</f>
        <v>1</v>
      </c>
      <c r="P109" s="170">
        <f>IF(AND(Daten!$Z109&lt;=KINVARO!$AW$4,Daten!$AA109&gt;=KINVARO!$AW$4)=TRUE,1,0)</f>
        <v>1</v>
      </c>
      <c r="Q109" s="170"/>
      <c r="R109" s="170">
        <f>IF(AND(Daten!$AC109&lt;='Material+Limits'!$I$58,Daten!$AD109&gt;='Material+Limits'!$I$58)=TRUE,1,0)</f>
        <v>0</v>
      </c>
      <c r="S109" s="29">
        <f ca="1">IF(Daten!$X109=Sprache!$A$125,1,0)</f>
        <v>1</v>
      </c>
      <c r="T109" s="28" t="str">
        <f ca="1">Sprache!$A$53</f>
        <v>Podnośnik T-57</v>
      </c>
      <c r="U109" s="32">
        <v>16</v>
      </c>
      <c r="V109" s="29">
        <v>16</v>
      </c>
      <c r="W109" s="30">
        <f ca="1">Sprache!$A$131</f>
        <v>0</v>
      </c>
      <c r="X109" s="30">
        <f ca="1">Sprache!$A$126</f>
        <v>0</v>
      </c>
      <c r="Y109" s="30" t="str">
        <f ca="1">Sprache!$A$69</f>
        <v>Front</v>
      </c>
      <c r="Z109" s="30">
        <v>550</v>
      </c>
      <c r="AA109" s="28">
        <v>599</v>
      </c>
      <c r="AB109" s="30">
        <v>19</v>
      </c>
      <c r="AC109" s="31">
        <v>1.9</v>
      </c>
      <c r="AD109" s="53">
        <v>2.7</v>
      </c>
      <c r="AE109" s="30" t="s">
        <v>796</v>
      </c>
      <c r="AF109" s="30" t="str">
        <f ca="1">Sprache!$A$101</f>
        <v>Zestaw (prawy+lewy)</v>
      </c>
      <c r="AG109" s="30" t="s">
        <v>26</v>
      </c>
      <c r="AH109" s="30" t="str">
        <f ca="1">Sprache!$A$122</f>
        <v>nastawialna</v>
      </c>
      <c r="AI109" s="30" t="s">
        <v>26</v>
      </c>
      <c r="AJ109" s="30" t="s">
        <v>26</v>
      </c>
      <c r="AK109" s="30">
        <f>'Material+Limits'!$K$9</f>
        <v>200</v>
      </c>
      <c r="AL109" s="28">
        <v>1200</v>
      </c>
      <c r="AM109" s="30"/>
      <c r="AN109" s="28"/>
    </row>
    <row r="110" spans="1:48" x14ac:dyDescent="0.25">
      <c r="A110" t="str">
        <f t="shared" ca="1" si="3"/>
        <v/>
      </c>
      <c r="B110" t="str">
        <f t="shared" ca="1" si="2"/>
        <v/>
      </c>
      <c r="C110" s="79">
        <f>IF('Material+Limits'!$P$11=TRUE,1,0)</f>
        <v>0</v>
      </c>
      <c r="D110" s="39">
        <f>IF(Daten!$O110+Daten!$P110+Daten!$R110=3,1,0)</f>
        <v>0</v>
      </c>
      <c r="E110" s="184">
        <f ca="1">IF(AND('Material+Limits'!$Q$21=TRUE,Daten!N110=1)=TRUE,1,0)</f>
        <v>1</v>
      </c>
      <c r="F110" s="185">
        <f ca="1">IF(AND('Material+Limits'!$Q$25=TRUE,Daten!M110=1)=TRUE,1,0)</f>
        <v>0</v>
      </c>
      <c r="G110" s="185">
        <f ca="1">IF(AND('Material+Limits'!$Q$24=TRUE,Daten!L110=1)=TRUE,1,0)</f>
        <v>0</v>
      </c>
      <c r="H110" s="185">
        <f ca="1">IF(AND('Material+Limits'!$Q$23=TRUE,Daten!K110=1)=TRUE,1,0)</f>
        <v>0</v>
      </c>
      <c r="I110" s="185">
        <f ca="1">IF(AND('Material+Limits'!$Q$22=TRUE,Daten!J110=1)=TRUE,1,0)</f>
        <v>0</v>
      </c>
      <c r="J110" s="158">
        <f ca="1">IF(Daten!$U110=13,1,0)</f>
        <v>0</v>
      </c>
      <c r="K110" s="159">
        <f ca="1">IF(Daten!$U110&lt;&gt;Daten!$V110,1,IF(Daten!$U110=14,1,0))</f>
        <v>0</v>
      </c>
      <c r="L110" s="159">
        <f ca="1">IF(Daten!$U110&lt;&gt;Daten!$V110,1,IF(Daten!$U110=16,1,0))</f>
        <v>0</v>
      </c>
      <c r="M110" s="159">
        <f ca="1">IF(Daten!$V110=17,1,0)</f>
        <v>0</v>
      </c>
      <c r="N110" s="160">
        <f ca="1">IF(Daten!$W110=Sprache!$A$60,1,0)</f>
        <v>1</v>
      </c>
      <c r="O110" s="173">
        <f>IF(AND(Daten!$AK110&lt;=KINVARO!$AW$3,Daten!$AL110&gt;=KINVARO!$AW$3)=TRUE,1,0)</f>
        <v>1</v>
      </c>
      <c r="P110" s="174">
        <f>IF(AND(Daten!$Z110&lt;=KINVARO!$AW$4,Daten!$AA110&gt;=KINVARO!$AW$4)=TRUE,1,0)</f>
        <v>0</v>
      </c>
      <c r="Q110" s="174"/>
      <c r="R110" s="174">
        <f>IF(AND(Daten!$AC110&lt;='Material+Limits'!$I$58,Daten!$AD110&gt;='Material+Limits'!$I$58)=TRUE,1,0)</f>
        <v>0</v>
      </c>
      <c r="S110" s="38">
        <f ca="1">IF(Daten!$X110=Sprache!$A$125,1,0)</f>
        <v>1</v>
      </c>
      <c r="T110" s="57" t="str">
        <f ca="1">Sprache!$A$53</f>
        <v>Podnośnik T-57</v>
      </c>
      <c r="U110" s="55">
        <f ca="1">Sprache!$A$64</f>
        <v>0</v>
      </c>
      <c r="V110" s="38">
        <f ca="1">Sprache!$A$64</f>
        <v>0</v>
      </c>
      <c r="W110" s="56" t="str">
        <f ca="1">Sprache!$A$60</f>
        <v>Front lity (drewno/płyta)</v>
      </c>
      <c r="X110" s="25">
        <f ca="1">Sprache!$A$126</f>
        <v>0</v>
      </c>
      <c r="Y110" s="56" t="str">
        <f ca="1">Sprache!$A$69</f>
        <v>Front</v>
      </c>
      <c r="Z110" s="56">
        <v>600</v>
      </c>
      <c r="AA110" s="57">
        <v>600</v>
      </c>
      <c r="AB110" s="56">
        <v>19</v>
      </c>
      <c r="AC110" s="58">
        <v>2.1</v>
      </c>
      <c r="AD110" s="59">
        <v>2.5</v>
      </c>
      <c r="AE110" s="56" t="s">
        <v>794</v>
      </c>
      <c r="AF110" s="56" t="str">
        <f ca="1">Sprache!$A$101</f>
        <v>Zestaw (prawy+lewy)</v>
      </c>
      <c r="AG110" s="56" t="s">
        <v>26</v>
      </c>
      <c r="AH110" s="56" t="str">
        <f ca="1">Sprache!$A$122</f>
        <v>nastawialna</v>
      </c>
      <c r="AI110" s="25" t="s">
        <v>26</v>
      </c>
      <c r="AJ110" s="25" t="s">
        <v>26</v>
      </c>
      <c r="AK110" s="56">
        <f>'Material+Limits'!$K$9</f>
        <v>200</v>
      </c>
      <c r="AL110" s="57">
        <v>1200</v>
      </c>
      <c r="AM110" s="30"/>
      <c r="AN110" s="24"/>
      <c r="AO110"/>
      <c r="AR110"/>
      <c r="AS110"/>
      <c r="AT110"/>
      <c r="AU110"/>
      <c r="AV110"/>
    </row>
    <row r="111" spans="1:48" x14ac:dyDescent="0.25">
      <c r="A111" t="str">
        <f t="shared" ca="1" si="3"/>
        <v/>
      </c>
      <c r="B111" t="str">
        <f t="shared" ca="1" si="2"/>
        <v/>
      </c>
      <c r="C111" s="79">
        <f>IF('Material+Limits'!$P$11=TRUE,1,0)</f>
        <v>0</v>
      </c>
      <c r="D111" s="39">
        <f>IF(Daten!$O111+Daten!$P111+Daten!$R111=3,1,0)</f>
        <v>0</v>
      </c>
      <c r="E111" s="184">
        <f ca="1">IF(AND('Material+Limits'!$Q$21=TRUE,Daten!N111=1)=TRUE,1,0)</f>
        <v>0</v>
      </c>
      <c r="F111" s="185">
        <f>IF(AND('Material+Limits'!$Q$25=TRUE,Daten!M111=1)=TRUE,1,0)</f>
        <v>0</v>
      </c>
      <c r="G111" s="185">
        <f>IF(AND('Material+Limits'!$Q$24=TRUE,Daten!L111=1)=TRUE,1,0)</f>
        <v>0</v>
      </c>
      <c r="H111" s="185">
        <f>IF(AND('Material+Limits'!$Q$23=TRUE,Daten!K111=1)=TRUE,1,0)</f>
        <v>0</v>
      </c>
      <c r="I111" s="185">
        <f>IF(AND('Material+Limits'!$Q$22=TRUE,Daten!J111=1)=TRUE,1,0)</f>
        <v>0</v>
      </c>
      <c r="J111" s="155">
        <f>IF(Daten!$U111=13,1,0)</f>
        <v>0</v>
      </c>
      <c r="K111" s="156">
        <f>IF(Daten!$U111&lt;&gt;Daten!$V111,1,IF(Daten!$U111=14,1,0))</f>
        <v>1</v>
      </c>
      <c r="L111" s="156">
        <f>IF(Daten!$U111&lt;&gt;Daten!$V111,1,IF(Daten!$U111=16,1,0))</f>
        <v>0</v>
      </c>
      <c r="M111" s="156">
        <f>IF(Daten!$V111=17,1,0)</f>
        <v>0</v>
      </c>
      <c r="N111" s="157">
        <f ca="1">IF(Daten!$W111=Sprache!$A$60,1,0)</f>
        <v>0</v>
      </c>
      <c r="O111" s="169">
        <f>IF(AND(Daten!$AK111&lt;=KINVARO!$AW$3,Daten!$AL111&gt;=KINVARO!$AW$3)=TRUE,1,0)</f>
        <v>1</v>
      </c>
      <c r="P111" s="170">
        <f>IF(AND(Daten!$Z111&lt;=KINVARO!$AW$4,Daten!$AA111&gt;=KINVARO!$AW$4)=TRUE,1,0)</f>
        <v>0</v>
      </c>
      <c r="R111" s="170">
        <f>IF(AND(Daten!$AC111&lt;='Material+Limits'!$I$58,Daten!$AD111&gt;='Material+Limits'!$I$58)=TRUE,1,0)</f>
        <v>0</v>
      </c>
      <c r="S111" s="29">
        <f ca="1">IF(Daten!$X111=Sprache!$A$125,1,0)</f>
        <v>1</v>
      </c>
      <c r="T111" s="28" t="str">
        <f ca="1">Sprache!$A$53</f>
        <v>Podnośnik T-57</v>
      </c>
      <c r="U111" s="32">
        <v>14</v>
      </c>
      <c r="V111" s="29">
        <v>14</v>
      </c>
      <c r="W111" s="30">
        <f ca="1">Sprache!$A$131</f>
        <v>0</v>
      </c>
      <c r="X111" s="30">
        <f ca="1">Sprache!$A$126</f>
        <v>0</v>
      </c>
      <c r="Y111" s="30" t="str">
        <f ca="1">Sprache!$A$69</f>
        <v>Front</v>
      </c>
      <c r="Z111" s="30">
        <v>600</v>
      </c>
      <c r="AA111" s="28">
        <v>600</v>
      </c>
      <c r="AB111" s="30">
        <v>19</v>
      </c>
      <c r="AC111" s="31">
        <v>2.1</v>
      </c>
      <c r="AD111" s="53">
        <v>2.5</v>
      </c>
      <c r="AE111" s="30" t="s">
        <v>795</v>
      </c>
      <c r="AF111" s="30" t="str">
        <f ca="1">Sprache!$A$101</f>
        <v>Zestaw (prawy+lewy)</v>
      </c>
      <c r="AG111" s="30" t="s">
        <v>26</v>
      </c>
      <c r="AH111" s="30" t="str">
        <f ca="1">Sprache!$A$122</f>
        <v>nastawialna</v>
      </c>
      <c r="AI111" s="30" t="s">
        <v>26</v>
      </c>
      <c r="AJ111" s="30" t="s">
        <v>26</v>
      </c>
      <c r="AK111" s="30">
        <f>'Material+Limits'!$K$9</f>
        <v>200</v>
      </c>
      <c r="AL111" s="28">
        <v>1200</v>
      </c>
      <c r="AM111" s="30"/>
      <c r="AN111" s="28"/>
      <c r="AO111"/>
      <c r="AR111"/>
      <c r="AS111"/>
      <c r="AT111"/>
      <c r="AU111"/>
      <c r="AV111"/>
    </row>
    <row r="112" spans="1:48" s="9" customFormat="1" ht="15.75" thickBot="1" x14ac:dyDescent="0.3">
      <c r="A112" t="str">
        <f t="shared" ca="1" si="3"/>
        <v/>
      </c>
      <c r="B112" t="str">
        <f t="shared" ca="1" si="2"/>
        <v/>
      </c>
      <c r="C112" s="81">
        <f>IF('Material+Limits'!$P$11=TRUE,1,0)</f>
        <v>0</v>
      </c>
      <c r="D112" s="39">
        <f>IF(Daten!$O112+Daten!$P112+Daten!$R112=3,1,0)</f>
        <v>0</v>
      </c>
      <c r="E112" s="184">
        <f ca="1">IF(AND('Material+Limits'!$Q$21=TRUE,Daten!N112=1)=TRUE,1,0)</f>
        <v>0</v>
      </c>
      <c r="F112" s="185">
        <f>IF(AND('Material+Limits'!$Q$25=TRUE,Daten!M112=1)=TRUE,1,0)</f>
        <v>0</v>
      </c>
      <c r="G112" s="185">
        <f>IF(AND('Material+Limits'!$Q$24=TRUE,Daten!L112=1)=TRUE,1,0)</f>
        <v>0</v>
      </c>
      <c r="H112" s="185">
        <f>IF(AND('Material+Limits'!$Q$23=TRUE,Daten!K112=1)=TRUE,1,0)</f>
        <v>0</v>
      </c>
      <c r="I112" s="185">
        <f>IF(AND('Material+Limits'!$Q$22=TRUE,Daten!J112=1)=TRUE,1,0)</f>
        <v>0</v>
      </c>
      <c r="J112" s="158">
        <f>IF(Daten!$U112=13,1,0)</f>
        <v>0</v>
      </c>
      <c r="K112" s="159">
        <f>IF(Daten!$U112&lt;&gt;Daten!$V112,1,IF(Daten!$U112=14,1,0))</f>
        <v>0</v>
      </c>
      <c r="L112" s="159">
        <f>IF(Daten!$U112&lt;&gt;Daten!$V112,1,IF(Daten!$U112=16,1,0))</f>
        <v>1</v>
      </c>
      <c r="M112" s="159">
        <f>IF(Daten!$V112=17,1,0)</f>
        <v>0</v>
      </c>
      <c r="N112" s="160">
        <f ca="1">IF(Daten!$W112=Sprache!$A$60,1,0)</f>
        <v>0</v>
      </c>
      <c r="O112" s="171">
        <f>IF(AND(Daten!$AK112&lt;=KINVARO!$AW$3,Daten!$AL112&gt;=KINVARO!$AW$3)=TRUE,1,0)</f>
        <v>1</v>
      </c>
      <c r="P112" s="172">
        <f>IF(AND(Daten!$Z112&lt;=KINVARO!$AW$4,Daten!$AA112&gt;=KINVARO!$AW$4)=TRUE,1,0)</f>
        <v>0</v>
      </c>
      <c r="Q112" s="172"/>
      <c r="R112" s="172">
        <f>IF(AND(Daten!$AC112&lt;='Material+Limits'!$I$58,Daten!$AD112&gt;='Material+Limits'!$I$58)=TRUE,1,0)</f>
        <v>0</v>
      </c>
      <c r="S112" s="23">
        <f ca="1">IF(Daten!$X112=Sprache!$A$125,1,0)</f>
        <v>1</v>
      </c>
      <c r="T112" s="24" t="str">
        <f ca="1">Sprache!$A$53</f>
        <v>Podnośnik T-57</v>
      </c>
      <c r="U112" s="27">
        <v>16</v>
      </c>
      <c r="V112" s="23">
        <v>16</v>
      </c>
      <c r="W112" s="25">
        <f ca="1">Sprache!$A$131</f>
        <v>0</v>
      </c>
      <c r="X112" s="25">
        <f ca="1">Sprache!$A$126</f>
        <v>0</v>
      </c>
      <c r="Y112" s="25" t="str">
        <f ca="1">Sprache!$A$69</f>
        <v>Front</v>
      </c>
      <c r="Z112" s="25">
        <v>600</v>
      </c>
      <c r="AA112" s="24">
        <v>600</v>
      </c>
      <c r="AB112" s="25">
        <v>19</v>
      </c>
      <c r="AC112" s="26">
        <v>2.1</v>
      </c>
      <c r="AD112" s="54">
        <v>2.5</v>
      </c>
      <c r="AE112" s="25" t="s">
        <v>796</v>
      </c>
      <c r="AF112" s="25" t="str">
        <f ca="1">Sprache!$A$101</f>
        <v>Zestaw (prawy+lewy)</v>
      </c>
      <c r="AG112" s="25" t="s">
        <v>26</v>
      </c>
      <c r="AH112" s="25" t="str">
        <f ca="1">Sprache!$A$122</f>
        <v>nastawialna</v>
      </c>
      <c r="AI112" s="25" t="s">
        <v>26</v>
      </c>
      <c r="AJ112" s="25" t="s">
        <v>26</v>
      </c>
      <c r="AK112" s="25">
        <f>'Material+Limits'!$K$9</f>
        <v>200</v>
      </c>
      <c r="AL112" s="24">
        <v>1200</v>
      </c>
      <c r="AM112" s="30"/>
      <c r="AN112" s="24"/>
    </row>
    <row r="113" spans="1:48" ht="15.75" thickTop="1" x14ac:dyDescent="0.25">
      <c r="A113" t="str">
        <f t="shared" ca="1" si="3"/>
        <v/>
      </c>
      <c r="B113" t="str">
        <f t="shared" ca="1" si="2"/>
        <v/>
      </c>
      <c r="C113" s="79">
        <f>IF('Material+Limits'!$P$10=TRUE,1,0)</f>
        <v>0</v>
      </c>
      <c r="D113" s="39">
        <f>IF(Daten!$O113+Daten!$P113+Daten!$R113=3,1,0)</f>
        <v>0</v>
      </c>
      <c r="E113" s="184">
        <f ca="1">IF(AND('Material+Limits'!$Q$21=TRUE,Daten!N113=1)=TRUE,1,0)</f>
        <v>1</v>
      </c>
      <c r="F113" s="185">
        <f ca="1">IF(AND('Material+Limits'!$Q$25=TRUE,Daten!M113=1)=TRUE,1,0)</f>
        <v>0</v>
      </c>
      <c r="G113" s="185">
        <f ca="1">IF(AND('Material+Limits'!$Q$24=TRUE,Daten!L113=1)=TRUE,1,0)</f>
        <v>0</v>
      </c>
      <c r="H113" s="185">
        <f ca="1">IF(AND('Material+Limits'!$Q$23=TRUE,Daten!K113=1)=TRUE,1,0)</f>
        <v>0</v>
      </c>
      <c r="I113" s="185">
        <f ca="1">IF(AND('Material+Limits'!$Q$22=TRUE,Daten!J113=1)=TRUE,1,0)</f>
        <v>0</v>
      </c>
      <c r="J113" s="155">
        <f ca="1">IF(Daten!$U113=13,1,0)</f>
        <v>0</v>
      </c>
      <c r="K113" s="156">
        <f ca="1">IF(Daten!$U113&lt;&gt;Daten!$V113,1,IF(Daten!$U113=14,1,0))</f>
        <v>0</v>
      </c>
      <c r="L113" s="156">
        <f ca="1">IF(Daten!$U113&lt;&gt;Daten!$V113,1,IF(Daten!$U113=16,1,0))</f>
        <v>0</v>
      </c>
      <c r="M113" s="156">
        <f ca="1">IF(Daten!$V113=17,1,0)</f>
        <v>0</v>
      </c>
      <c r="N113" s="157">
        <f ca="1">IF(Daten!$W113=Sprache!$A$60,1,0)</f>
        <v>1</v>
      </c>
      <c r="O113" s="179">
        <f>IF(AND(Daten!$AK113&lt;=KINVARO!$AW$3,Daten!$AL113&gt;=KINVARO!$AW$3)=TRUE,1,0)</f>
        <v>1</v>
      </c>
      <c r="P113" s="180">
        <f>IF(AND(Daten!$Z113&lt;=KINVARO!$AW$4,Daten!$AA113&gt;=KINVARO!$AW$4)=TRUE,1,0)</f>
        <v>0</v>
      </c>
      <c r="Q113" s="180"/>
      <c r="R113" s="180">
        <f>IF(AND(Daten!$AC113&lt;='Material+Limits'!$I$58,Daten!$AD113&gt;='Material+Limits'!$I$58)=TRUE,1,0)</f>
        <v>0</v>
      </c>
      <c r="S113" s="73">
        <f ca="1">IF(Daten!$X113=Sprache!$A$125,1,0)</f>
        <v>1</v>
      </c>
      <c r="T113" s="75" t="str">
        <f ca="1">Sprache!$A$54</f>
        <v>Podnośnik T-76</v>
      </c>
      <c r="U113" s="72">
        <f ca="1">Sprache!$A$64</f>
        <v>0</v>
      </c>
      <c r="V113" s="73">
        <f ca="1">Sprache!$A$64</f>
        <v>0</v>
      </c>
      <c r="W113" s="74" t="str">
        <f ca="1">Sprache!$A$60</f>
        <v>Front lity (drewno/płyta)</v>
      </c>
      <c r="X113" s="30">
        <f ca="1">Sprache!$A$126</f>
        <v>0</v>
      </c>
      <c r="Y113" s="74" t="str">
        <f ca="1">Sprache!$A$69</f>
        <v>Front</v>
      </c>
      <c r="Z113" s="74">
        <v>400</v>
      </c>
      <c r="AA113" s="75">
        <v>449</v>
      </c>
      <c r="AB113" s="74"/>
      <c r="AC113" s="76">
        <v>7</v>
      </c>
      <c r="AD113" s="77">
        <v>11</v>
      </c>
      <c r="AE113" s="74" t="s">
        <v>797</v>
      </c>
      <c r="AF113" s="74" t="str">
        <f ca="1">Sprache!$A$101</f>
        <v>Zestaw (prawy+lewy)</v>
      </c>
      <c r="AG113" s="74" t="s">
        <v>26</v>
      </c>
      <c r="AH113" s="74" t="str">
        <f ca="1">Sprache!$A$115</f>
        <v>Sprężyna standard</v>
      </c>
      <c r="AI113" s="30" t="s">
        <v>26</v>
      </c>
      <c r="AJ113" s="30" t="s">
        <v>26</v>
      </c>
      <c r="AK113" s="74">
        <f>'Material+Limits'!$K$9</f>
        <v>200</v>
      </c>
      <c r="AL113" s="75">
        <v>1200</v>
      </c>
      <c r="AM113" s="30"/>
      <c r="AN113" s="28"/>
      <c r="AO113"/>
      <c r="AR113"/>
      <c r="AS113"/>
      <c r="AT113"/>
      <c r="AU113"/>
      <c r="AV113"/>
    </row>
    <row r="114" spans="1:48" s="5" customFormat="1" x14ac:dyDescent="0.25">
      <c r="A114" t="str">
        <f t="shared" ca="1" si="3"/>
        <v/>
      </c>
      <c r="B114" t="str">
        <f t="shared" ca="1" si="2"/>
        <v/>
      </c>
      <c r="C114" s="79">
        <f>IF('Material+Limits'!$P$10=TRUE,1,0)</f>
        <v>0</v>
      </c>
      <c r="D114" s="39">
        <f>IF(Daten!$O114+Daten!$P114+Daten!$R114=3,1,0)</f>
        <v>0</v>
      </c>
      <c r="E114" s="184">
        <f ca="1">IF(AND('Material+Limits'!$Q$21=TRUE,Daten!N114=1)=TRUE,1,0)</f>
        <v>0</v>
      </c>
      <c r="F114" s="185">
        <f>IF(AND('Material+Limits'!$Q$25=TRUE,Daten!M114=1)=TRUE,1,0)</f>
        <v>0</v>
      </c>
      <c r="G114" s="185">
        <f>IF(AND('Material+Limits'!$Q$24=TRUE,Daten!L114=1)=TRUE,1,0)</f>
        <v>0</v>
      </c>
      <c r="H114" s="185">
        <f>IF(AND('Material+Limits'!$Q$23=TRUE,Daten!K114=1)=TRUE,1,0)</f>
        <v>0</v>
      </c>
      <c r="I114" s="185">
        <f>IF(AND('Material+Limits'!$Q$22=TRUE,Daten!J114=1)=TRUE,1,0)</f>
        <v>0</v>
      </c>
      <c r="J114" s="158">
        <f>IF(Daten!$U114=13,1,0)</f>
        <v>1</v>
      </c>
      <c r="K114" s="159">
        <f>IF(Daten!$U114&lt;&gt;Daten!$V114,1,IF(Daten!$U114=14,1,0))</f>
        <v>1</v>
      </c>
      <c r="L114" s="159">
        <f>IF(Daten!$U114&lt;&gt;Daten!$V114,1,IF(Daten!$U114=16,1,0))</f>
        <v>1</v>
      </c>
      <c r="M114" s="159">
        <f>IF(Daten!$V114=17,1,0)</f>
        <v>1</v>
      </c>
      <c r="N114" s="160">
        <f ca="1">IF(Daten!$W114=Sprache!$A$60,1,0)</f>
        <v>0</v>
      </c>
      <c r="O114" s="171">
        <f>IF(AND(Daten!$AK114&lt;=KINVARO!$AW$3,Daten!$AL114&gt;=KINVARO!$AW$3)=TRUE,1,0)</f>
        <v>1</v>
      </c>
      <c r="P114" s="172">
        <f>IF(AND(Daten!$Z114&lt;=KINVARO!$AW$4,Daten!$AA114&gt;=KINVARO!$AW$4)=TRUE,1,0)</f>
        <v>0</v>
      </c>
      <c r="Q114" s="172"/>
      <c r="R114" s="172">
        <f>IF(AND(Daten!$AC114&lt;='Material+Limits'!$I$58,Daten!$AD114&gt;='Material+Limits'!$I$58)=TRUE,1,0)</f>
        <v>0</v>
      </c>
      <c r="S114" s="23">
        <f ca="1">IF(Daten!$X114=Sprache!$A$125,1,0)</f>
        <v>1</v>
      </c>
      <c r="T114" s="24" t="str">
        <f ca="1">Sprache!$A$54</f>
        <v>Podnośnik T-76</v>
      </c>
      <c r="U114" s="27">
        <v>13</v>
      </c>
      <c r="V114" s="23">
        <v>17</v>
      </c>
      <c r="W114" s="25">
        <f ca="1">Sprache!$A$132</f>
        <v>0</v>
      </c>
      <c r="X114" s="25">
        <f ca="1">Sprache!$A$126</f>
        <v>0</v>
      </c>
      <c r="Y114" s="25" t="str">
        <f ca="1">Sprache!$A$69</f>
        <v>Front</v>
      </c>
      <c r="Z114" s="25">
        <v>400</v>
      </c>
      <c r="AA114" s="24">
        <v>449</v>
      </c>
      <c r="AB114" s="25"/>
      <c r="AC114" s="26">
        <v>7</v>
      </c>
      <c r="AD114" s="54">
        <v>11</v>
      </c>
      <c r="AE114" s="25" t="s">
        <v>797</v>
      </c>
      <c r="AF114" s="25" t="str">
        <f ca="1">Sprache!$A$101</f>
        <v>Zestaw (prawy+lewy)</v>
      </c>
      <c r="AG114" s="25" t="s">
        <v>26</v>
      </c>
      <c r="AH114" s="25" t="str">
        <f ca="1">Sprache!$A$115</f>
        <v>Sprężyna standard</v>
      </c>
      <c r="AI114" s="25" t="str">
        <f ca="1">Sprache!$A$135</f>
        <v>Adapter do ram aluminiowych, do Kinvaro T-76 zest.</v>
      </c>
      <c r="AJ114" s="25" t="s">
        <v>825</v>
      </c>
      <c r="AK114" s="25">
        <f>'Material+Limits'!$K$9</f>
        <v>200</v>
      </c>
      <c r="AL114" s="24">
        <v>1200</v>
      </c>
      <c r="AM114" s="30"/>
      <c r="AN114" s="24"/>
    </row>
    <row r="115" spans="1:48" x14ac:dyDescent="0.25">
      <c r="A115" t="str">
        <f t="shared" ca="1" si="3"/>
        <v/>
      </c>
      <c r="B115" t="str">
        <f t="shared" ca="1" si="2"/>
        <v/>
      </c>
      <c r="C115" s="79">
        <f>IF('Material+Limits'!$P$10=TRUE,1,0)</f>
        <v>0</v>
      </c>
      <c r="D115" s="39">
        <f>IF(Daten!$O115+Daten!$P115+Daten!$R115=3,1,0)</f>
        <v>0</v>
      </c>
      <c r="E115" s="184">
        <f ca="1">IF(AND('Material+Limits'!$Q$21=TRUE,Daten!N115=1)=TRUE,1,0)</f>
        <v>1</v>
      </c>
      <c r="F115" s="185">
        <f ca="1">IF(AND('Material+Limits'!$Q$25=TRUE,Daten!M115=1)=TRUE,1,0)</f>
        <v>0</v>
      </c>
      <c r="G115" s="185">
        <f ca="1">IF(AND('Material+Limits'!$Q$24=TRUE,Daten!L115=1)=TRUE,1,0)</f>
        <v>0</v>
      </c>
      <c r="H115" s="185">
        <f ca="1">IF(AND('Material+Limits'!$Q$23=TRUE,Daten!K115=1)=TRUE,1,0)</f>
        <v>0</v>
      </c>
      <c r="I115" s="185">
        <f ca="1">IF(AND('Material+Limits'!$Q$22=TRUE,Daten!J115=1)=TRUE,1,0)</f>
        <v>0</v>
      </c>
      <c r="J115" s="155">
        <f ca="1">IF(Daten!$U115=13,1,0)</f>
        <v>0</v>
      </c>
      <c r="K115" s="156">
        <f ca="1">IF(Daten!$U115&lt;&gt;Daten!$V115,1,IF(Daten!$U115=14,1,0))</f>
        <v>0</v>
      </c>
      <c r="L115" s="156">
        <f ca="1">IF(Daten!$U115&lt;&gt;Daten!$V115,1,IF(Daten!$U115=16,1,0))</f>
        <v>0</v>
      </c>
      <c r="M115" s="156">
        <f ca="1">IF(Daten!$V115=17,1,0)</f>
        <v>0</v>
      </c>
      <c r="N115" s="157">
        <f ca="1">IF(Daten!$W115=Sprache!$A$60,1,0)</f>
        <v>1</v>
      </c>
      <c r="O115" s="177">
        <f>IF(AND(Daten!$AK115&lt;=KINVARO!$AW$3,Daten!$AL115&gt;=KINVARO!$AW$3)=TRUE,1,0)</f>
        <v>1</v>
      </c>
      <c r="P115" s="178">
        <f>IF(AND(Daten!$Z115&lt;=KINVARO!$AW$4,Daten!$AA115&gt;=KINVARO!$AW$4)=TRUE,1,0)</f>
        <v>0</v>
      </c>
      <c r="Q115" s="178"/>
      <c r="R115" s="178">
        <f>IF(AND(Daten!$AC115&lt;='Material+Limits'!$I$58,Daten!$AD115&gt;='Material+Limits'!$I$58)=TRUE,1,0)</f>
        <v>0</v>
      </c>
      <c r="S115" s="67">
        <f ca="1">IF(Daten!$X115=Sprache!$A$125,1,0)</f>
        <v>1</v>
      </c>
      <c r="T115" s="69" t="str">
        <f ca="1">Sprache!$A$54</f>
        <v>Podnośnik T-76</v>
      </c>
      <c r="U115" s="66">
        <f ca="1">Sprache!$A$64</f>
        <v>0</v>
      </c>
      <c r="V115" s="67">
        <f ca="1">Sprache!$A$64</f>
        <v>0</v>
      </c>
      <c r="W115" s="68" t="str">
        <f ca="1">Sprache!$A$60</f>
        <v>Front lity (drewno/płyta)</v>
      </c>
      <c r="X115" s="30">
        <f ca="1">Sprache!$A$126</f>
        <v>0</v>
      </c>
      <c r="Y115" s="68" t="str">
        <f ca="1">Sprache!$A$69</f>
        <v>Front</v>
      </c>
      <c r="Z115" s="68">
        <v>450</v>
      </c>
      <c r="AA115" s="69">
        <v>499</v>
      </c>
      <c r="AB115" s="68"/>
      <c r="AC115" s="70">
        <v>6.7</v>
      </c>
      <c r="AD115" s="71">
        <v>9.6</v>
      </c>
      <c r="AE115" s="68" t="s">
        <v>797</v>
      </c>
      <c r="AF115" s="68" t="str">
        <f ca="1">Sprache!$A$101</f>
        <v>Zestaw (prawy+lewy)</v>
      </c>
      <c r="AG115" s="68" t="s">
        <v>26</v>
      </c>
      <c r="AH115" s="68" t="str">
        <f ca="1">Sprache!$A$115</f>
        <v>Sprężyna standard</v>
      </c>
      <c r="AI115" s="68" t="s">
        <v>26</v>
      </c>
      <c r="AJ115" s="68" t="s">
        <v>26</v>
      </c>
      <c r="AK115" s="68">
        <f>'Material+Limits'!$K$9</f>
        <v>200</v>
      </c>
      <c r="AL115" s="69">
        <v>1200</v>
      </c>
      <c r="AM115" s="30"/>
      <c r="AN115" s="28"/>
      <c r="AO115"/>
      <c r="AR115"/>
      <c r="AS115"/>
      <c r="AT115"/>
      <c r="AU115"/>
      <c r="AV115"/>
    </row>
    <row r="116" spans="1:48" s="5" customFormat="1" x14ac:dyDescent="0.25">
      <c r="A116" t="str">
        <f t="shared" ca="1" si="3"/>
        <v/>
      </c>
      <c r="B116" t="str">
        <f t="shared" ca="1" si="2"/>
        <v/>
      </c>
      <c r="C116" s="79">
        <f>IF('Material+Limits'!$P$10=TRUE,1,0)</f>
        <v>0</v>
      </c>
      <c r="D116" s="39">
        <f>IF(Daten!$O116+Daten!$P116+Daten!$R116=3,1,0)</f>
        <v>0</v>
      </c>
      <c r="E116" s="184">
        <f ca="1">IF(AND('Material+Limits'!$Q$21=TRUE,Daten!N116=1)=TRUE,1,0)</f>
        <v>0</v>
      </c>
      <c r="F116" s="185">
        <f>IF(AND('Material+Limits'!$Q$25=TRUE,Daten!M116=1)=TRUE,1,0)</f>
        <v>0</v>
      </c>
      <c r="G116" s="185">
        <f>IF(AND('Material+Limits'!$Q$24=TRUE,Daten!L116=1)=TRUE,1,0)</f>
        <v>0</v>
      </c>
      <c r="H116" s="185">
        <f>IF(AND('Material+Limits'!$Q$23=TRUE,Daten!K116=1)=TRUE,1,0)</f>
        <v>0</v>
      </c>
      <c r="I116" s="185">
        <f>IF(AND('Material+Limits'!$Q$22=TRUE,Daten!J116=1)=TRUE,1,0)</f>
        <v>0</v>
      </c>
      <c r="J116" s="158">
        <f>IF(Daten!$U116=13,1,0)</f>
        <v>1</v>
      </c>
      <c r="K116" s="159">
        <f>IF(Daten!$U116&lt;&gt;Daten!$V116,1,IF(Daten!$U116=14,1,0))</f>
        <v>1</v>
      </c>
      <c r="L116" s="159">
        <f>IF(Daten!$U116&lt;&gt;Daten!$V116,1,IF(Daten!$U116=16,1,0))</f>
        <v>1</v>
      </c>
      <c r="M116" s="159">
        <f>IF(Daten!$V116=17,1,0)</f>
        <v>1</v>
      </c>
      <c r="N116" s="160">
        <f ca="1">IF(Daten!$W116=Sprache!$A$60,1,0)</f>
        <v>0</v>
      </c>
      <c r="O116" s="171">
        <f>IF(AND(Daten!$AK116&lt;=KINVARO!$AW$3,Daten!$AL116&gt;=KINVARO!$AW$3)=TRUE,1,0)</f>
        <v>1</v>
      </c>
      <c r="P116" s="172">
        <f>IF(AND(Daten!$Z116&lt;=KINVARO!$AW$4,Daten!$AA116&gt;=KINVARO!$AW$4)=TRUE,1,0)</f>
        <v>0</v>
      </c>
      <c r="Q116" s="172"/>
      <c r="R116" s="172">
        <f>IF(AND(Daten!$AC116&lt;='Material+Limits'!$I$58,Daten!$AD116&gt;='Material+Limits'!$I$58)=TRUE,1,0)</f>
        <v>0</v>
      </c>
      <c r="S116" s="23">
        <f ca="1">IF(Daten!$X116=Sprache!$A$125,1,0)</f>
        <v>1</v>
      </c>
      <c r="T116" s="24" t="str">
        <f ca="1">Sprache!$A$54</f>
        <v>Podnośnik T-76</v>
      </c>
      <c r="U116" s="27">
        <v>13</v>
      </c>
      <c r="V116" s="23">
        <v>17</v>
      </c>
      <c r="W116" s="25">
        <f ca="1">Sprache!$A$132</f>
        <v>0</v>
      </c>
      <c r="X116" s="25">
        <f ca="1">Sprache!$A$126</f>
        <v>0</v>
      </c>
      <c r="Y116" s="25" t="str">
        <f ca="1">Sprache!$A$69</f>
        <v>Front</v>
      </c>
      <c r="Z116" s="25">
        <v>450</v>
      </c>
      <c r="AA116" s="24">
        <v>499</v>
      </c>
      <c r="AB116" s="25"/>
      <c r="AC116" s="26">
        <v>6.7</v>
      </c>
      <c r="AD116" s="54">
        <v>9.6</v>
      </c>
      <c r="AE116" s="25" t="s">
        <v>797</v>
      </c>
      <c r="AF116" s="25" t="str">
        <f ca="1">Sprache!$A$101</f>
        <v>Zestaw (prawy+lewy)</v>
      </c>
      <c r="AG116" s="25" t="s">
        <v>26</v>
      </c>
      <c r="AH116" s="25" t="str">
        <f ca="1">Sprache!$A$115</f>
        <v>Sprężyna standard</v>
      </c>
      <c r="AI116" s="25" t="str">
        <f ca="1">Sprache!$A$135</f>
        <v>Adapter do ram aluminiowych, do Kinvaro T-76 zest.</v>
      </c>
      <c r="AJ116" s="25" t="s">
        <v>825</v>
      </c>
      <c r="AK116" s="25">
        <f>'Material+Limits'!$K$9</f>
        <v>200</v>
      </c>
      <c r="AL116" s="24">
        <v>1200</v>
      </c>
      <c r="AM116" s="30"/>
      <c r="AN116" s="24"/>
    </row>
    <row r="117" spans="1:48" x14ac:dyDescent="0.25">
      <c r="A117" t="str">
        <f t="shared" ca="1" si="3"/>
        <v/>
      </c>
      <c r="B117" t="str">
        <f t="shared" ca="1" si="2"/>
        <v/>
      </c>
      <c r="C117" s="79">
        <f>IF('Material+Limits'!$P$10=TRUE,1,0)</f>
        <v>0</v>
      </c>
      <c r="D117" s="39">
        <f>IF(Daten!$O117+Daten!$P117+Daten!$R117=3,1,0)</f>
        <v>0</v>
      </c>
      <c r="E117" s="184">
        <f ca="1">IF(AND('Material+Limits'!$Q$21=TRUE,Daten!N117=1)=TRUE,1,0)</f>
        <v>1</v>
      </c>
      <c r="F117" s="185">
        <f ca="1">IF(AND('Material+Limits'!$Q$25=TRUE,Daten!M117=1)=TRUE,1,0)</f>
        <v>0</v>
      </c>
      <c r="G117" s="185">
        <f ca="1">IF(AND('Material+Limits'!$Q$24=TRUE,Daten!L117=1)=TRUE,1,0)</f>
        <v>0</v>
      </c>
      <c r="H117" s="185">
        <f ca="1">IF(AND('Material+Limits'!$Q$23=TRUE,Daten!K117=1)=TRUE,1,0)</f>
        <v>0</v>
      </c>
      <c r="I117" s="185">
        <f ca="1">IF(AND('Material+Limits'!$Q$22=TRUE,Daten!J117=1)=TRUE,1,0)</f>
        <v>0</v>
      </c>
      <c r="J117" s="155">
        <f ca="1">IF(Daten!$U117=13,1,0)</f>
        <v>0</v>
      </c>
      <c r="K117" s="156">
        <f ca="1">IF(Daten!$U117&lt;&gt;Daten!$V117,1,IF(Daten!$U117=14,1,0))</f>
        <v>0</v>
      </c>
      <c r="L117" s="156">
        <f ca="1">IF(Daten!$U117&lt;&gt;Daten!$V117,1,IF(Daten!$U117=16,1,0))</f>
        <v>0</v>
      </c>
      <c r="M117" s="156">
        <f ca="1">IF(Daten!$V117=17,1,0)</f>
        <v>0</v>
      </c>
      <c r="N117" s="157">
        <f ca="1">IF(Daten!$W117=Sprache!$A$60,1,0)</f>
        <v>1</v>
      </c>
      <c r="O117" s="177">
        <f>IF(AND(Daten!$AK117&lt;=KINVARO!$AW$3,Daten!$AL117&gt;=KINVARO!$AW$3)=TRUE,1,0)</f>
        <v>1</v>
      </c>
      <c r="P117" s="178">
        <f>IF(AND(Daten!$Z117&lt;=KINVARO!$AW$4,Daten!$AA117&gt;=KINVARO!$AW$4)=TRUE,1,0)</f>
        <v>0</v>
      </c>
      <c r="Q117" s="178"/>
      <c r="R117" s="178">
        <f>IF(AND(Daten!$AC117&lt;='Material+Limits'!$I$58,Daten!$AD117&gt;='Material+Limits'!$I$58)=TRUE,1,0)</f>
        <v>1</v>
      </c>
      <c r="S117" s="67">
        <f ca="1">IF(Daten!$X117=Sprache!$A$125,1,0)</f>
        <v>1</v>
      </c>
      <c r="T117" s="69" t="str">
        <f ca="1">Sprache!$A$54</f>
        <v>Podnośnik T-76</v>
      </c>
      <c r="U117" s="66">
        <f ca="1">Sprache!$A$64</f>
        <v>0</v>
      </c>
      <c r="V117" s="67">
        <f ca="1">Sprache!$A$64</f>
        <v>0</v>
      </c>
      <c r="W117" s="68" t="str">
        <f ca="1">Sprache!$A$60</f>
        <v>Front lity (drewno/płyta)</v>
      </c>
      <c r="X117" s="30">
        <f ca="1">Sprache!$A$126</f>
        <v>0</v>
      </c>
      <c r="Y117" s="68" t="str">
        <f ca="1">Sprache!$A$69</f>
        <v>Front</v>
      </c>
      <c r="Z117" s="68">
        <v>500</v>
      </c>
      <c r="AA117" s="69">
        <v>549</v>
      </c>
      <c r="AB117" s="68"/>
      <c r="AC117" s="70">
        <v>5.8</v>
      </c>
      <c r="AD117" s="71">
        <v>8.5</v>
      </c>
      <c r="AE117" s="68" t="s">
        <v>797</v>
      </c>
      <c r="AF117" s="68" t="str">
        <f ca="1">Sprache!$A$101</f>
        <v>Zestaw (prawy+lewy)</v>
      </c>
      <c r="AG117" s="68" t="s">
        <v>26</v>
      </c>
      <c r="AH117" s="68" t="str">
        <f ca="1">Sprache!$A$115</f>
        <v>Sprężyna standard</v>
      </c>
      <c r="AI117" s="68" t="s">
        <v>26</v>
      </c>
      <c r="AJ117" s="68" t="s">
        <v>26</v>
      </c>
      <c r="AK117" s="68">
        <f>'Material+Limits'!$K$9</f>
        <v>200</v>
      </c>
      <c r="AL117" s="69">
        <v>1200</v>
      </c>
      <c r="AM117" s="30"/>
      <c r="AN117" s="28"/>
      <c r="AO117"/>
      <c r="AR117"/>
      <c r="AS117"/>
      <c r="AT117"/>
      <c r="AU117"/>
      <c r="AV117"/>
    </row>
    <row r="118" spans="1:48" s="5" customFormat="1" x14ac:dyDescent="0.25">
      <c r="A118" t="str">
        <f t="shared" ca="1" si="3"/>
        <v/>
      </c>
      <c r="B118" t="str">
        <f t="shared" ca="1" si="2"/>
        <v/>
      </c>
      <c r="C118" s="79">
        <f>IF('Material+Limits'!$P$10=TRUE,1,0)</f>
        <v>0</v>
      </c>
      <c r="D118" s="39">
        <f>IF(Daten!$O118+Daten!$P118+Daten!$R118=3,1,0)</f>
        <v>0</v>
      </c>
      <c r="E118" s="184">
        <f ca="1">IF(AND('Material+Limits'!$Q$21=TRUE,Daten!N118=1)=TRUE,1,0)</f>
        <v>0</v>
      </c>
      <c r="F118" s="185">
        <f>IF(AND('Material+Limits'!$Q$25=TRUE,Daten!M118=1)=TRUE,1,0)</f>
        <v>0</v>
      </c>
      <c r="G118" s="185">
        <f>IF(AND('Material+Limits'!$Q$24=TRUE,Daten!L118=1)=TRUE,1,0)</f>
        <v>0</v>
      </c>
      <c r="H118" s="185">
        <f>IF(AND('Material+Limits'!$Q$23=TRUE,Daten!K118=1)=TRUE,1,0)</f>
        <v>0</v>
      </c>
      <c r="I118" s="185">
        <f>IF(AND('Material+Limits'!$Q$22=TRUE,Daten!J118=1)=TRUE,1,0)</f>
        <v>0</v>
      </c>
      <c r="J118" s="158">
        <f>IF(Daten!$U118=13,1,0)</f>
        <v>1</v>
      </c>
      <c r="K118" s="159">
        <f>IF(Daten!$U118&lt;&gt;Daten!$V118,1,IF(Daten!$U118=14,1,0))</f>
        <v>1</v>
      </c>
      <c r="L118" s="159">
        <f>IF(Daten!$U118&lt;&gt;Daten!$V118,1,IF(Daten!$U118=16,1,0))</f>
        <v>1</v>
      </c>
      <c r="M118" s="159">
        <f>IF(Daten!$V118=17,1,0)</f>
        <v>1</v>
      </c>
      <c r="N118" s="160">
        <f ca="1">IF(Daten!$W118=Sprache!$A$60,1,0)</f>
        <v>0</v>
      </c>
      <c r="O118" s="171">
        <f>IF(AND(Daten!$AK118&lt;=KINVARO!$AW$3,Daten!$AL118&gt;=KINVARO!$AW$3)=TRUE,1,0)</f>
        <v>1</v>
      </c>
      <c r="P118" s="172">
        <f>IF(AND(Daten!$Z118&lt;=KINVARO!$AW$4,Daten!$AA118&gt;=KINVARO!$AW$4)=TRUE,1,0)</f>
        <v>0</v>
      </c>
      <c r="Q118" s="172"/>
      <c r="R118" s="172">
        <f>IF(AND(Daten!$AC118&lt;='Material+Limits'!$I$58,Daten!$AD118&gt;='Material+Limits'!$I$58)=TRUE,1,0)</f>
        <v>1</v>
      </c>
      <c r="S118" s="23">
        <f ca="1">IF(Daten!$X118=Sprache!$A$125,1,0)</f>
        <v>1</v>
      </c>
      <c r="T118" s="24" t="str">
        <f ca="1">Sprache!$A$54</f>
        <v>Podnośnik T-76</v>
      </c>
      <c r="U118" s="27">
        <v>13</v>
      </c>
      <c r="V118" s="23">
        <v>17</v>
      </c>
      <c r="W118" s="25">
        <f ca="1">Sprache!$A$132</f>
        <v>0</v>
      </c>
      <c r="X118" s="25">
        <f ca="1">Sprache!$A$126</f>
        <v>0</v>
      </c>
      <c r="Y118" s="25" t="str">
        <f ca="1">Sprache!$A$69</f>
        <v>Front</v>
      </c>
      <c r="Z118" s="25">
        <v>500</v>
      </c>
      <c r="AA118" s="24">
        <v>549</v>
      </c>
      <c r="AB118" s="25"/>
      <c r="AC118" s="26">
        <v>5.8</v>
      </c>
      <c r="AD118" s="54">
        <v>8.5</v>
      </c>
      <c r="AE118" s="25" t="s">
        <v>797</v>
      </c>
      <c r="AF118" s="25" t="str">
        <f ca="1">Sprache!$A$101</f>
        <v>Zestaw (prawy+lewy)</v>
      </c>
      <c r="AG118" s="25" t="s">
        <v>26</v>
      </c>
      <c r="AH118" s="25" t="str">
        <f ca="1">Sprache!$A$115</f>
        <v>Sprężyna standard</v>
      </c>
      <c r="AI118" s="25" t="str">
        <f ca="1">Sprache!$A$135</f>
        <v>Adapter do ram aluminiowych, do Kinvaro T-76 zest.</v>
      </c>
      <c r="AJ118" s="242" t="s">
        <v>826</v>
      </c>
      <c r="AK118" s="25">
        <f>'Material+Limits'!$K$9</f>
        <v>200</v>
      </c>
      <c r="AL118" s="24">
        <v>1200</v>
      </c>
      <c r="AM118" s="30"/>
      <c r="AN118" s="24"/>
    </row>
    <row r="119" spans="1:48" x14ac:dyDescent="0.25">
      <c r="A119" t="str">
        <f t="shared" ca="1" si="3"/>
        <v/>
      </c>
      <c r="B119">
        <f t="shared" ca="1" si="2"/>
        <v>1</v>
      </c>
      <c r="C119" s="79">
        <f>IF('Material+Limits'!$P$10=TRUE,1,0)</f>
        <v>0</v>
      </c>
      <c r="D119" s="39">
        <f>IF(Daten!$O119+Daten!$P119+Daten!$R119=3,1,0)</f>
        <v>1</v>
      </c>
      <c r="E119" s="184">
        <f ca="1">IF(AND('Material+Limits'!$Q$21=TRUE,Daten!N119=1)=TRUE,1,0)</f>
        <v>1</v>
      </c>
      <c r="F119" s="185">
        <f ca="1">IF(AND('Material+Limits'!$Q$25=TRUE,Daten!M119=1)=TRUE,1,0)</f>
        <v>0</v>
      </c>
      <c r="G119" s="185">
        <f ca="1">IF(AND('Material+Limits'!$Q$24=TRUE,Daten!L119=1)=TRUE,1,0)</f>
        <v>0</v>
      </c>
      <c r="H119" s="185">
        <f ca="1">IF(AND('Material+Limits'!$Q$23=TRUE,Daten!K119=1)=TRUE,1,0)</f>
        <v>0</v>
      </c>
      <c r="I119" s="185">
        <f ca="1">IF(AND('Material+Limits'!$Q$22=TRUE,Daten!J119=1)=TRUE,1,0)</f>
        <v>0</v>
      </c>
      <c r="J119" s="155">
        <f ca="1">IF(Daten!$U119=13,1,0)</f>
        <v>0</v>
      </c>
      <c r="K119" s="156">
        <f ca="1">IF(Daten!$U119&lt;&gt;Daten!$V119,1,IF(Daten!$U119=14,1,0))</f>
        <v>0</v>
      </c>
      <c r="L119" s="156">
        <f ca="1">IF(Daten!$U119&lt;&gt;Daten!$V119,1,IF(Daten!$U119=16,1,0))</f>
        <v>0</v>
      </c>
      <c r="M119" s="156">
        <f ca="1">IF(Daten!$V119=17,1,0)</f>
        <v>0</v>
      </c>
      <c r="N119" s="157">
        <f ca="1">IF(Daten!$W119=Sprache!$A$60,1,0)</f>
        <v>1</v>
      </c>
      <c r="O119" s="177">
        <f>IF(AND(Daten!$AK119&lt;=KINVARO!$AW$3,Daten!$AL119&gt;=KINVARO!$AW$3)=TRUE,1,0)</f>
        <v>1</v>
      </c>
      <c r="P119" s="178">
        <f>IF(AND(Daten!$Z119&lt;=KINVARO!$AW$4,Daten!$AA119&gt;=KINVARO!$AW$4)=TRUE,1,0)</f>
        <v>1</v>
      </c>
      <c r="Q119" s="178"/>
      <c r="R119" s="178">
        <f>IF(AND(Daten!$AC119&lt;='Material+Limits'!$I$58,Daten!$AD119&gt;='Material+Limits'!$I$58)=TRUE,1,0)</f>
        <v>1</v>
      </c>
      <c r="S119" s="67">
        <f ca="1">IF(Daten!$X119=Sprache!$A$125,1,0)</f>
        <v>1</v>
      </c>
      <c r="T119" s="69" t="str">
        <f ca="1">Sprache!$A$54</f>
        <v>Podnośnik T-76</v>
      </c>
      <c r="U119" s="66">
        <f ca="1">Sprache!$A$64</f>
        <v>0</v>
      </c>
      <c r="V119" s="67">
        <f ca="1">Sprache!$A$64</f>
        <v>0</v>
      </c>
      <c r="W119" s="68" t="str">
        <f ca="1">Sprache!$A$60</f>
        <v>Front lity (drewno/płyta)</v>
      </c>
      <c r="X119" s="30">
        <f ca="1">Sprache!$A$126</f>
        <v>0</v>
      </c>
      <c r="Y119" s="68" t="str">
        <f ca="1">Sprache!$A$69</f>
        <v>Front</v>
      </c>
      <c r="Z119" s="68">
        <v>550</v>
      </c>
      <c r="AA119" s="69">
        <v>599</v>
      </c>
      <c r="AB119" s="68"/>
      <c r="AC119" s="70">
        <v>5.6</v>
      </c>
      <c r="AD119" s="71">
        <v>7.6</v>
      </c>
      <c r="AE119" s="68" t="s">
        <v>797</v>
      </c>
      <c r="AF119" s="68" t="str">
        <f ca="1">Sprache!$A$101</f>
        <v>Zestaw (prawy+lewy)</v>
      </c>
      <c r="AG119" s="68" t="s">
        <v>26</v>
      </c>
      <c r="AH119" s="68" t="str">
        <f ca="1">Sprache!$A$115</f>
        <v>Sprężyna standard</v>
      </c>
      <c r="AI119" s="68" t="s">
        <v>26</v>
      </c>
      <c r="AJ119" s="68" t="s">
        <v>26</v>
      </c>
      <c r="AK119" s="68">
        <f>'Material+Limits'!$K$9</f>
        <v>200</v>
      </c>
      <c r="AL119" s="69">
        <v>1200</v>
      </c>
      <c r="AM119" s="30"/>
      <c r="AN119" s="28"/>
      <c r="AO119"/>
      <c r="AR119"/>
      <c r="AS119"/>
      <c r="AT119"/>
      <c r="AU119"/>
      <c r="AV119"/>
    </row>
    <row r="120" spans="1:48" s="5" customFormat="1" x14ac:dyDescent="0.25">
      <c r="A120" t="str">
        <f t="shared" ca="1" si="3"/>
        <v/>
      </c>
      <c r="B120" t="str">
        <f t="shared" ca="1" si="2"/>
        <v/>
      </c>
      <c r="C120" s="79">
        <f>IF('Material+Limits'!$P$10=TRUE,1,0)</f>
        <v>0</v>
      </c>
      <c r="D120" s="39">
        <f>IF(Daten!$O120+Daten!$P120+Daten!$R120=3,1,0)</f>
        <v>1</v>
      </c>
      <c r="E120" s="184">
        <f ca="1">IF(AND('Material+Limits'!$Q$21=TRUE,Daten!N120=1)=TRUE,1,0)</f>
        <v>0</v>
      </c>
      <c r="F120" s="185">
        <f>IF(AND('Material+Limits'!$Q$25=TRUE,Daten!M120=1)=TRUE,1,0)</f>
        <v>0</v>
      </c>
      <c r="G120" s="185">
        <f>IF(AND('Material+Limits'!$Q$24=TRUE,Daten!L120=1)=TRUE,1,0)</f>
        <v>0</v>
      </c>
      <c r="H120" s="185">
        <f>IF(AND('Material+Limits'!$Q$23=TRUE,Daten!K120=1)=TRUE,1,0)</f>
        <v>0</v>
      </c>
      <c r="I120" s="185">
        <f>IF(AND('Material+Limits'!$Q$22=TRUE,Daten!J120=1)=TRUE,1,0)</f>
        <v>0</v>
      </c>
      <c r="J120" s="158">
        <f>IF(Daten!$U120=13,1,0)</f>
        <v>1</v>
      </c>
      <c r="K120" s="159">
        <f>IF(Daten!$U120&lt;&gt;Daten!$V120,1,IF(Daten!$U120=14,1,0))</f>
        <v>1</v>
      </c>
      <c r="L120" s="159">
        <f>IF(Daten!$U120&lt;&gt;Daten!$V120,1,IF(Daten!$U120=16,1,0))</f>
        <v>1</v>
      </c>
      <c r="M120" s="159">
        <f>IF(Daten!$V120=17,1,0)</f>
        <v>1</v>
      </c>
      <c r="N120" s="160">
        <f ca="1">IF(Daten!$W120=Sprache!$A$60,1,0)</f>
        <v>0</v>
      </c>
      <c r="O120" s="171">
        <f>IF(AND(Daten!$AK120&lt;=KINVARO!$AW$3,Daten!$AL120&gt;=KINVARO!$AW$3)=TRUE,1,0)</f>
        <v>1</v>
      </c>
      <c r="P120" s="172">
        <f>IF(AND(Daten!$Z120&lt;=KINVARO!$AW$4,Daten!$AA120&gt;=KINVARO!$AW$4)=TRUE,1,0)</f>
        <v>1</v>
      </c>
      <c r="Q120" s="172"/>
      <c r="R120" s="172">
        <f>IF(AND(Daten!$AC120&lt;='Material+Limits'!$I$58,Daten!$AD120&gt;='Material+Limits'!$I$58)=TRUE,1,0)</f>
        <v>1</v>
      </c>
      <c r="S120" s="23">
        <f ca="1">IF(Daten!$X120=Sprache!$A$125,1,0)</f>
        <v>1</v>
      </c>
      <c r="T120" s="24" t="str">
        <f ca="1">Sprache!$A$54</f>
        <v>Podnośnik T-76</v>
      </c>
      <c r="U120" s="27">
        <v>13</v>
      </c>
      <c r="V120" s="23">
        <v>17</v>
      </c>
      <c r="W120" s="25">
        <f ca="1">Sprache!$A$132</f>
        <v>0</v>
      </c>
      <c r="X120" s="25">
        <f ca="1">Sprache!$A$126</f>
        <v>0</v>
      </c>
      <c r="Y120" s="25" t="str">
        <f ca="1">Sprache!$A$69</f>
        <v>Front</v>
      </c>
      <c r="Z120" s="25">
        <v>550</v>
      </c>
      <c r="AA120" s="24">
        <v>599</v>
      </c>
      <c r="AB120" s="25"/>
      <c r="AC120" s="26">
        <v>5.6</v>
      </c>
      <c r="AD120" s="54">
        <v>7.6</v>
      </c>
      <c r="AE120" s="25" t="s">
        <v>797</v>
      </c>
      <c r="AF120" s="25" t="str">
        <f ca="1">Sprache!$A$101</f>
        <v>Zestaw (prawy+lewy)</v>
      </c>
      <c r="AG120" s="25" t="s">
        <v>26</v>
      </c>
      <c r="AH120" s="25" t="str">
        <f ca="1">Sprache!$A$115</f>
        <v>Sprężyna standard</v>
      </c>
      <c r="AI120" s="25" t="str">
        <f ca="1">Sprache!$A$135</f>
        <v>Adapter do ram aluminiowych, do Kinvaro T-76 zest.</v>
      </c>
      <c r="AJ120" s="242" t="s">
        <v>826</v>
      </c>
      <c r="AK120" s="25">
        <f>'Material+Limits'!$K$9</f>
        <v>200</v>
      </c>
      <c r="AL120" s="24">
        <v>1200</v>
      </c>
      <c r="AM120" s="30"/>
      <c r="AN120" s="24"/>
    </row>
    <row r="121" spans="1:48" x14ac:dyDescent="0.25">
      <c r="A121" t="str">
        <f t="shared" ca="1" si="3"/>
        <v/>
      </c>
      <c r="B121" t="str">
        <f t="shared" ca="1" si="2"/>
        <v/>
      </c>
      <c r="C121" s="79">
        <f>IF('Material+Limits'!$P$10=TRUE,1,0)</f>
        <v>0</v>
      </c>
      <c r="D121" s="39">
        <f>IF(Daten!$O121+Daten!$P121+Daten!$R121=3,1,0)</f>
        <v>0</v>
      </c>
      <c r="E121" s="184">
        <f ca="1">IF(AND('Material+Limits'!$Q$21=TRUE,Daten!N121=1)=TRUE,1,0)</f>
        <v>1</v>
      </c>
      <c r="F121" s="185">
        <f ca="1">IF(AND('Material+Limits'!$Q$25=TRUE,Daten!M121=1)=TRUE,1,0)</f>
        <v>0</v>
      </c>
      <c r="G121" s="185">
        <f ca="1">IF(AND('Material+Limits'!$Q$24=TRUE,Daten!L121=1)=TRUE,1,0)</f>
        <v>0</v>
      </c>
      <c r="H121" s="185">
        <f ca="1">IF(AND('Material+Limits'!$Q$23=TRUE,Daten!K121=1)=TRUE,1,0)</f>
        <v>0</v>
      </c>
      <c r="I121" s="185">
        <f ca="1">IF(AND('Material+Limits'!$Q$22=TRUE,Daten!J121=1)=TRUE,1,0)</f>
        <v>0</v>
      </c>
      <c r="J121" s="155">
        <f ca="1">IF(Daten!$U121=13,1,0)</f>
        <v>0</v>
      </c>
      <c r="K121" s="156">
        <f ca="1">IF(Daten!$U121&lt;&gt;Daten!$V121,1,IF(Daten!$U121=14,1,0))</f>
        <v>0</v>
      </c>
      <c r="L121" s="156">
        <f ca="1">IF(Daten!$U121&lt;&gt;Daten!$V121,1,IF(Daten!$U121=16,1,0))</f>
        <v>0</v>
      </c>
      <c r="M121" s="156">
        <f ca="1">IF(Daten!$V121=17,1,0)</f>
        <v>0</v>
      </c>
      <c r="N121" s="157">
        <f ca="1">IF(Daten!$W121=Sprache!$A$60,1,0)</f>
        <v>1</v>
      </c>
      <c r="O121" s="177">
        <f>IF(AND(Daten!$AK121&lt;=KINVARO!$AW$3,Daten!$AL121&gt;=KINVARO!$AW$3)=TRUE,1,0)</f>
        <v>1</v>
      </c>
      <c r="P121" s="178">
        <f>IF(AND(Daten!$Z121&lt;=KINVARO!$AW$4,Daten!$AA121&gt;=KINVARO!$AW$4)=TRUE,1,0)</f>
        <v>0</v>
      </c>
      <c r="Q121" s="178"/>
      <c r="R121" s="178">
        <f>IF(AND(Daten!$AC121&lt;='Material+Limits'!$I$58,Daten!$AD121&gt;='Material+Limits'!$I$58)=TRUE,1,0)</f>
        <v>1</v>
      </c>
      <c r="S121" s="67">
        <f ca="1">IF(Daten!$X121=Sprache!$A$125,1,0)</f>
        <v>1</v>
      </c>
      <c r="T121" s="69" t="str">
        <f ca="1">Sprache!$A$54</f>
        <v>Podnośnik T-76</v>
      </c>
      <c r="U121" s="66">
        <f ca="1">Sprache!$A$64</f>
        <v>0</v>
      </c>
      <c r="V121" s="67">
        <f ca="1">Sprache!$A$64</f>
        <v>0</v>
      </c>
      <c r="W121" s="68" t="str">
        <f ca="1">Sprache!$A$60</f>
        <v>Front lity (drewno/płyta)</v>
      </c>
      <c r="X121" s="30">
        <f ca="1">Sprache!$A$126</f>
        <v>0</v>
      </c>
      <c r="Y121" s="68" t="str">
        <f ca="1">Sprache!$A$69</f>
        <v>Front</v>
      </c>
      <c r="Z121" s="68">
        <v>600</v>
      </c>
      <c r="AA121" s="69">
        <v>600</v>
      </c>
      <c r="AB121" s="68"/>
      <c r="AC121" s="70">
        <v>5.2</v>
      </c>
      <c r="AD121" s="71">
        <v>7</v>
      </c>
      <c r="AE121" s="68" t="s">
        <v>797</v>
      </c>
      <c r="AF121" s="68" t="str">
        <f ca="1">Sprache!$A$101</f>
        <v>Zestaw (prawy+lewy)</v>
      </c>
      <c r="AG121" s="68" t="s">
        <v>26</v>
      </c>
      <c r="AH121" s="68" t="str">
        <f ca="1">Sprache!$A$115</f>
        <v>Sprężyna standard</v>
      </c>
      <c r="AI121" s="68" t="s">
        <v>26</v>
      </c>
      <c r="AJ121" s="68" t="s">
        <v>26</v>
      </c>
      <c r="AK121" s="68">
        <f>'Material+Limits'!$K$9</f>
        <v>200</v>
      </c>
      <c r="AL121" s="69">
        <v>1200</v>
      </c>
      <c r="AM121" s="30"/>
      <c r="AN121" s="28"/>
      <c r="AO121"/>
      <c r="AR121"/>
      <c r="AS121"/>
      <c r="AT121"/>
      <c r="AU121"/>
      <c r="AV121"/>
    </row>
    <row r="122" spans="1:48" s="9" customFormat="1" ht="15.75" thickBot="1" x14ac:dyDescent="0.3">
      <c r="A122" t="str">
        <f t="shared" ca="1" si="3"/>
        <v/>
      </c>
      <c r="B122" t="str">
        <f t="shared" ca="1" si="2"/>
        <v/>
      </c>
      <c r="C122" s="81">
        <f>IF('Material+Limits'!$P$10=TRUE,1,0)</f>
        <v>0</v>
      </c>
      <c r="D122" s="39">
        <f>IF(Daten!$O122+Daten!$P122+Daten!$R122=3,1,0)</f>
        <v>0</v>
      </c>
      <c r="E122" s="184">
        <f ca="1">IF(AND('Material+Limits'!$Q$21=TRUE,Daten!N122=1)=TRUE,1,0)</f>
        <v>0</v>
      </c>
      <c r="F122" s="185">
        <f>IF(AND('Material+Limits'!$Q$25=TRUE,Daten!M122=1)=TRUE,1,0)</f>
        <v>0</v>
      </c>
      <c r="G122" s="185">
        <f>IF(AND('Material+Limits'!$Q$24=TRUE,Daten!L122=1)=TRUE,1,0)</f>
        <v>0</v>
      </c>
      <c r="H122" s="185">
        <f>IF(AND('Material+Limits'!$Q$23=TRUE,Daten!K122=1)=TRUE,1,0)</f>
        <v>0</v>
      </c>
      <c r="I122" s="185">
        <f>IF(AND('Material+Limits'!$Q$22=TRUE,Daten!J122=1)=TRUE,1,0)</f>
        <v>0</v>
      </c>
      <c r="J122" s="158">
        <f>IF(Daten!$U122=13,1,0)</f>
        <v>1</v>
      </c>
      <c r="K122" s="159">
        <f>IF(Daten!$U122&lt;&gt;Daten!$V122,1,IF(Daten!$U122=14,1,0))</f>
        <v>1</v>
      </c>
      <c r="L122" s="159">
        <f>IF(Daten!$U122&lt;&gt;Daten!$V122,1,IF(Daten!$U122=16,1,0))</f>
        <v>1</v>
      </c>
      <c r="M122" s="159">
        <f>IF(Daten!$V122=17,1,0)</f>
        <v>1</v>
      </c>
      <c r="N122" s="160">
        <f ca="1">IF(Daten!$W122=Sprache!$A$60,1,0)</f>
        <v>0</v>
      </c>
      <c r="O122" s="171">
        <f>IF(AND(Daten!$AK122&lt;=KINVARO!$AW$3,Daten!$AL122&gt;=KINVARO!$AW$3)=TRUE,1,0)</f>
        <v>1</v>
      </c>
      <c r="P122" s="172">
        <f>IF(AND(Daten!$Z122&lt;=KINVARO!$AW$4,Daten!$AA122&gt;=KINVARO!$AW$4)=TRUE,1,0)</f>
        <v>0</v>
      </c>
      <c r="Q122" s="172"/>
      <c r="R122" s="172">
        <f>IF(AND(Daten!$AC122&lt;='Material+Limits'!$I$58,Daten!$AD122&gt;='Material+Limits'!$I$58)=TRUE,1,0)</f>
        <v>1</v>
      </c>
      <c r="S122" s="23">
        <f ca="1">IF(Daten!$X122=Sprache!$A$125,1,0)</f>
        <v>1</v>
      </c>
      <c r="T122" s="24" t="str">
        <f ca="1">Sprache!$A$54</f>
        <v>Podnośnik T-76</v>
      </c>
      <c r="U122" s="27">
        <v>13</v>
      </c>
      <c r="V122" s="23">
        <v>17</v>
      </c>
      <c r="W122" s="25">
        <f ca="1">Sprache!$A$132</f>
        <v>0</v>
      </c>
      <c r="X122" s="25">
        <f ca="1">Sprache!$A$126</f>
        <v>0</v>
      </c>
      <c r="Y122" s="25" t="str">
        <f ca="1">Sprache!$A$69</f>
        <v>Front</v>
      </c>
      <c r="Z122" s="25">
        <v>600</v>
      </c>
      <c r="AA122" s="24">
        <v>600</v>
      </c>
      <c r="AB122" s="25"/>
      <c r="AC122" s="26">
        <v>5.2</v>
      </c>
      <c r="AD122" s="54">
        <v>7</v>
      </c>
      <c r="AE122" s="25" t="s">
        <v>797</v>
      </c>
      <c r="AF122" s="25" t="str">
        <f ca="1">Sprache!$A$101</f>
        <v>Zestaw (prawy+lewy)</v>
      </c>
      <c r="AG122" s="25" t="s">
        <v>26</v>
      </c>
      <c r="AH122" s="25" t="str">
        <f ca="1">Sprache!$A$115</f>
        <v>Sprężyna standard</v>
      </c>
      <c r="AI122" s="25" t="str">
        <f ca="1">Sprache!$A$135</f>
        <v>Adapter do ram aluminiowych, do Kinvaro T-76 zest.</v>
      </c>
      <c r="AJ122" s="25" t="s">
        <v>825</v>
      </c>
      <c r="AK122" s="25">
        <f>'Material+Limits'!$K$9</f>
        <v>200</v>
      </c>
      <c r="AL122" s="24">
        <v>1200</v>
      </c>
      <c r="AM122" s="30"/>
      <c r="AN122" s="24"/>
    </row>
    <row r="123" spans="1:48" s="4" customFormat="1" ht="15.75" thickTop="1" x14ac:dyDescent="0.25">
      <c r="A123" t="str">
        <f t="shared" ca="1" si="3"/>
        <v/>
      </c>
      <c r="B123" t="str">
        <f t="shared" ca="1" si="2"/>
        <v/>
      </c>
      <c r="C123" s="79">
        <f>IF('Material+Limits'!$P$9=TRUE,1,0)</f>
        <v>0</v>
      </c>
      <c r="D123" s="39">
        <f>IF(Daten!$O123+Daten!$P123+Daten!$R123=3,1,0)</f>
        <v>0</v>
      </c>
      <c r="E123" s="184">
        <f ca="1">IF(AND('Material+Limits'!$Q$21=TRUE,Daten!N123=1)=TRUE,1,0)</f>
        <v>1</v>
      </c>
      <c r="F123" s="185">
        <f ca="1">IF(AND('Material+Limits'!$Q$25=TRUE,Daten!M123=1)=TRUE,1,0)</f>
        <v>0</v>
      </c>
      <c r="G123" s="185">
        <f ca="1">IF(AND('Material+Limits'!$Q$24=TRUE,Daten!L123=1)=TRUE,1,0)</f>
        <v>0</v>
      </c>
      <c r="H123" s="185">
        <f ca="1">IF(AND('Material+Limits'!$Q$23=TRUE,Daten!K123=1)=TRUE,1,0)</f>
        <v>0</v>
      </c>
      <c r="I123" s="185">
        <f ca="1">IF(AND('Material+Limits'!$Q$22=TRUE,Daten!J123=1)=TRUE,1,0)</f>
        <v>0</v>
      </c>
      <c r="J123" s="155">
        <f ca="1">IF(Daten!$U123=13,1,0)</f>
        <v>0</v>
      </c>
      <c r="K123" s="156">
        <f ca="1">IF(Daten!$U123&lt;&gt;Daten!$V123,1,IF(Daten!$U123=14,1,0))</f>
        <v>0</v>
      </c>
      <c r="L123" s="156">
        <f ca="1">IF(Daten!$U123&lt;&gt;Daten!$V123,1,IF(Daten!$U123=16,1,0))</f>
        <v>0</v>
      </c>
      <c r="M123" s="156">
        <f ca="1">IF(Daten!$V123=17,1,0)</f>
        <v>0</v>
      </c>
      <c r="N123" s="157">
        <f ca="1">IF(Daten!$W123=Sprache!$A$60,1,0)</f>
        <v>1</v>
      </c>
      <c r="O123" s="179">
        <f>IF(AND(Daten!$AK123&lt;=KINVARO!$AW$3,Daten!$AL123&gt;=KINVARO!$AW$3)=TRUE,1,0)</f>
        <v>1</v>
      </c>
      <c r="P123" s="180">
        <f>IF(AND(Daten!$Z123&lt;=KINVARO!$AW$4,Daten!$AA123&gt;=KINVARO!$AW$4)=TRUE,1,0)</f>
        <v>0</v>
      </c>
      <c r="Q123" s="180"/>
      <c r="R123" s="180">
        <f>IF(AND(Daten!$AC123&lt;='Material+Limits'!$I$58,Daten!$AD123&gt;='Material+Limits'!$I$58)=TRUE,1,0)</f>
        <v>0</v>
      </c>
      <c r="S123" s="73">
        <f ca="1">IF(Daten!$X123=Sprache!$A$125,1,0)</f>
        <v>1</v>
      </c>
      <c r="T123" s="75" t="str">
        <f ca="1">Sprache!$A$55</f>
        <v xml:space="preserve">Podnośnik T-75 </v>
      </c>
      <c r="U123" s="72">
        <f ca="1">Sprache!$A$64</f>
        <v>0</v>
      </c>
      <c r="V123" s="73">
        <f ca="1">Sprache!$A$64</f>
        <v>0</v>
      </c>
      <c r="W123" s="74" t="str">
        <f ca="1">Sprache!$A$60</f>
        <v>Front lity (drewno/płyta)</v>
      </c>
      <c r="X123" s="30">
        <f ca="1">Sprache!$A$126</f>
        <v>0</v>
      </c>
      <c r="Y123" s="74" t="str">
        <f ca="1">Sprache!$A$69</f>
        <v>Front</v>
      </c>
      <c r="Z123" s="74">
        <v>400</v>
      </c>
      <c r="AA123" s="75">
        <v>449</v>
      </c>
      <c r="AB123" s="74"/>
      <c r="AC123" s="76">
        <v>7</v>
      </c>
      <c r="AD123" s="77">
        <v>11</v>
      </c>
      <c r="AE123" s="74" t="s">
        <v>798</v>
      </c>
      <c r="AF123" s="74" t="str">
        <f ca="1">Sprache!$A$101</f>
        <v>Zestaw (prawy+lewy)</v>
      </c>
      <c r="AG123" s="74" t="s">
        <v>26</v>
      </c>
      <c r="AH123" s="74" t="str">
        <f ca="1">Sprache!$A$115</f>
        <v>Sprężyna standard</v>
      </c>
      <c r="AI123" s="74" t="s">
        <v>26</v>
      </c>
      <c r="AJ123" s="74" t="s">
        <v>26</v>
      </c>
      <c r="AK123" s="74">
        <f>'Material+Limits'!$K$9</f>
        <v>200</v>
      </c>
      <c r="AL123" s="75">
        <v>1200</v>
      </c>
      <c r="AM123" s="30"/>
      <c r="AN123" s="28"/>
    </row>
    <row r="124" spans="1:48" s="4" customFormat="1" x14ac:dyDescent="0.25">
      <c r="A124" t="str">
        <f t="shared" ca="1" si="3"/>
        <v/>
      </c>
      <c r="B124" t="str">
        <f t="shared" ca="1" si="2"/>
        <v/>
      </c>
      <c r="C124" s="79">
        <f>IF('Material+Limits'!$P$9=TRUE,1,0)</f>
        <v>0</v>
      </c>
      <c r="D124" s="39">
        <f>IF(Daten!$O124+Daten!$P124+Daten!$R124=3,1,0)</f>
        <v>0</v>
      </c>
      <c r="E124" s="184">
        <f ca="1">IF(AND('Material+Limits'!$Q$21=TRUE,Daten!N124=1)=TRUE,1,0)</f>
        <v>0</v>
      </c>
      <c r="F124" s="185">
        <f>IF(AND('Material+Limits'!$Q$25=TRUE,Daten!M124=1)=TRUE,1,0)</f>
        <v>0</v>
      </c>
      <c r="G124" s="185">
        <f>IF(AND('Material+Limits'!$Q$24=TRUE,Daten!L124=1)=TRUE,1,0)</f>
        <v>0</v>
      </c>
      <c r="H124" s="185">
        <f>IF(AND('Material+Limits'!$Q$23=TRUE,Daten!K124=1)=TRUE,1,0)</f>
        <v>0</v>
      </c>
      <c r="I124" s="185">
        <f>IF(AND('Material+Limits'!$Q$22=TRUE,Daten!J124=1)=TRUE,1,0)</f>
        <v>0</v>
      </c>
      <c r="J124" s="158">
        <f>IF(Daten!$U124=13,1,0)</f>
        <v>1</v>
      </c>
      <c r="K124" s="159">
        <f>IF(Daten!$U124&lt;&gt;Daten!$V124,1,IF(Daten!$U124=14,1,0))</f>
        <v>0</v>
      </c>
      <c r="L124" s="159">
        <f>IF(Daten!$U124&lt;&gt;Daten!$V124,1,IF(Daten!$U124=16,1,0))</f>
        <v>0</v>
      </c>
      <c r="M124" s="159">
        <f>IF(Daten!$V124=17,1,0)</f>
        <v>0</v>
      </c>
      <c r="N124" s="160">
        <f ca="1">IF(Daten!$W124=Sprache!$A$60,1,0)</f>
        <v>0</v>
      </c>
      <c r="O124" s="171">
        <f>IF(AND(Daten!$AK124&lt;=KINVARO!$AW$3,Daten!$AL124&gt;=KINVARO!$AW$3)=TRUE,1,0)</f>
        <v>1</v>
      </c>
      <c r="P124" s="172">
        <f>IF(AND(Daten!$Z124&lt;=KINVARO!$AW$4,Daten!$AA124&gt;=KINVARO!$AW$4)=TRUE,1,0)</f>
        <v>0</v>
      </c>
      <c r="Q124" s="172"/>
      <c r="R124" s="172">
        <f>IF(AND(Daten!$AC124&lt;='Material+Limits'!$I$58,Daten!$AD124&gt;='Material+Limits'!$I$58)=TRUE,1,0)</f>
        <v>0</v>
      </c>
      <c r="S124" s="23">
        <f ca="1">IF(Daten!$X124=Sprache!$A$125,1,0)</f>
        <v>1</v>
      </c>
      <c r="T124" s="24" t="str">
        <f ca="1">Sprache!$A$55</f>
        <v xml:space="preserve">Podnośnik T-75 </v>
      </c>
      <c r="U124" s="27">
        <v>13</v>
      </c>
      <c r="V124" s="23">
        <v>13</v>
      </c>
      <c r="W124" s="25">
        <f ca="1">Sprache!$A$131</f>
        <v>0</v>
      </c>
      <c r="X124" s="25">
        <f ca="1">Sprache!$A$126</f>
        <v>0</v>
      </c>
      <c r="Y124" s="25" t="str">
        <f ca="1">Sprache!$A$69</f>
        <v>Front</v>
      </c>
      <c r="Z124" s="25">
        <v>400</v>
      </c>
      <c r="AA124" s="24">
        <v>449</v>
      </c>
      <c r="AB124" s="25"/>
      <c r="AC124" s="26">
        <v>7</v>
      </c>
      <c r="AD124" s="54">
        <v>11</v>
      </c>
      <c r="AE124" s="25" t="s">
        <v>799</v>
      </c>
      <c r="AF124" s="25" t="str">
        <f ca="1">Sprache!$A$101</f>
        <v>Zestaw (prawy+lewy)</v>
      </c>
      <c r="AG124" s="25" t="s">
        <v>26</v>
      </c>
      <c r="AH124" s="25" t="str">
        <f ca="1">Sprache!$A$115</f>
        <v>Sprężyna standard</v>
      </c>
      <c r="AI124" s="25" t="s">
        <v>26</v>
      </c>
      <c r="AJ124" s="25" t="s">
        <v>26</v>
      </c>
      <c r="AK124" s="25">
        <f>'Material+Limits'!$K$9</f>
        <v>200</v>
      </c>
      <c r="AL124" s="24">
        <v>1200</v>
      </c>
      <c r="AM124" s="30"/>
      <c r="AN124" s="24"/>
    </row>
    <row r="125" spans="1:48" s="4" customFormat="1" x14ac:dyDescent="0.25">
      <c r="A125" t="str">
        <f t="shared" ca="1" si="3"/>
        <v/>
      </c>
      <c r="B125" t="str">
        <f t="shared" ca="1" si="2"/>
        <v/>
      </c>
      <c r="C125" s="79">
        <f>IF('Material+Limits'!$P$9=TRUE,1,0)</f>
        <v>0</v>
      </c>
      <c r="D125" s="39">
        <f>IF(Daten!$O125+Daten!$P125+Daten!$R125=3,1,0)</f>
        <v>0</v>
      </c>
      <c r="E125" s="184">
        <f ca="1">IF(AND('Material+Limits'!$Q$21=TRUE,Daten!N125=1)=TRUE,1,0)</f>
        <v>0</v>
      </c>
      <c r="F125" s="185">
        <f>IF(AND('Material+Limits'!$Q$25=TRUE,Daten!M125=1)=TRUE,1,0)</f>
        <v>0</v>
      </c>
      <c r="G125" s="185">
        <f>IF(AND('Material+Limits'!$Q$24=TRUE,Daten!L125=1)=TRUE,1,0)</f>
        <v>0</v>
      </c>
      <c r="H125" s="185">
        <f>IF(AND('Material+Limits'!$Q$23=TRUE,Daten!K125=1)=TRUE,1,0)</f>
        <v>0</v>
      </c>
      <c r="I125" s="185">
        <f>IF(AND('Material+Limits'!$Q$22=TRUE,Daten!J125=1)=TRUE,1,0)</f>
        <v>0</v>
      </c>
      <c r="J125" s="155">
        <f>IF(Daten!$U125=13,1,0)</f>
        <v>0</v>
      </c>
      <c r="K125" s="156">
        <f>IF(Daten!$U125&lt;&gt;Daten!$V125,1,IF(Daten!$U125=14,1,0))</f>
        <v>1</v>
      </c>
      <c r="L125" s="156">
        <f>IF(Daten!$U125&lt;&gt;Daten!$V125,1,IF(Daten!$U125=16,1,0))</f>
        <v>0</v>
      </c>
      <c r="M125" s="156">
        <f>IF(Daten!$V125=17,1,0)</f>
        <v>0</v>
      </c>
      <c r="N125" s="157">
        <f ca="1">IF(Daten!$W125=Sprache!$A$60,1,0)</f>
        <v>0</v>
      </c>
      <c r="O125" s="169">
        <f>IF(AND(Daten!$AK125&lt;=KINVARO!$AW$3,Daten!$AL125&gt;=KINVARO!$AW$3)=TRUE,1,0)</f>
        <v>1</v>
      </c>
      <c r="P125" s="170">
        <f>IF(AND(Daten!$Z125&lt;=KINVARO!$AW$4,Daten!$AA125&gt;=KINVARO!$AW$4)=TRUE,1,0)</f>
        <v>0</v>
      </c>
      <c r="Q125" s="170"/>
      <c r="R125" s="170">
        <f>IF(AND(Daten!$AC125&lt;='Material+Limits'!$I$58,Daten!$AD125&gt;='Material+Limits'!$I$58)=TRUE,1,0)</f>
        <v>0</v>
      </c>
      <c r="S125" s="29">
        <f ca="1">IF(Daten!$X125=Sprache!$A$125,1,0)</f>
        <v>1</v>
      </c>
      <c r="T125" s="28" t="str">
        <f ca="1">Sprache!$A$55</f>
        <v xml:space="preserve">Podnośnik T-75 </v>
      </c>
      <c r="U125" s="32">
        <v>14</v>
      </c>
      <c r="V125" s="29">
        <v>14</v>
      </c>
      <c r="W125" s="30">
        <f ca="1">Sprache!$A$131</f>
        <v>0</v>
      </c>
      <c r="X125" s="30">
        <f ca="1">Sprache!$A$126</f>
        <v>0</v>
      </c>
      <c r="Y125" s="30" t="str">
        <f ca="1">Sprache!$A$69</f>
        <v>Front</v>
      </c>
      <c r="Z125" s="30">
        <v>400</v>
      </c>
      <c r="AA125" s="28">
        <v>449</v>
      </c>
      <c r="AB125" s="30"/>
      <c r="AC125" s="31">
        <v>7</v>
      </c>
      <c r="AD125" s="53">
        <v>11</v>
      </c>
      <c r="AE125" s="30" t="s">
        <v>800</v>
      </c>
      <c r="AF125" s="30" t="str">
        <f ca="1">Sprache!$A$101</f>
        <v>Zestaw (prawy+lewy)</v>
      </c>
      <c r="AG125" s="30" t="s">
        <v>26</v>
      </c>
      <c r="AH125" s="30" t="str">
        <f ca="1">Sprache!$A$115</f>
        <v>Sprężyna standard</v>
      </c>
      <c r="AI125" s="30" t="s">
        <v>26</v>
      </c>
      <c r="AJ125" s="30" t="s">
        <v>26</v>
      </c>
      <c r="AK125" s="30">
        <f>'Material+Limits'!$K$9</f>
        <v>200</v>
      </c>
      <c r="AL125" s="28">
        <v>1200</v>
      </c>
      <c r="AM125" s="30"/>
      <c r="AN125" s="28"/>
    </row>
    <row r="126" spans="1:48" s="4" customFormat="1" x14ac:dyDescent="0.25">
      <c r="A126" t="str">
        <f t="shared" ca="1" si="3"/>
        <v/>
      </c>
      <c r="B126" t="str">
        <f t="shared" ca="1" si="2"/>
        <v/>
      </c>
      <c r="C126" s="79">
        <f>IF('Material+Limits'!$P$9=TRUE,1,0)</f>
        <v>0</v>
      </c>
      <c r="D126" s="39">
        <f>IF(Daten!$O126+Daten!$P126+Daten!$R126=3,1,0)</f>
        <v>0</v>
      </c>
      <c r="E126" s="184">
        <f ca="1">IF(AND('Material+Limits'!$Q$21=TRUE,Daten!N126=1)=TRUE,1,0)</f>
        <v>0</v>
      </c>
      <c r="F126" s="185">
        <f>IF(AND('Material+Limits'!$Q$25=TRUE,Daten!M126=1)=TRUE,1,0)</f>
        <v>0</v>
      </c>
      <c r="G126" s="185">
        <f>IF(AND('Material+Limits'!$Q$24=TRUE,Daten!L126=1)=TRUE,1,0)</f>
        <v>0</v>
      </c>
      <c r="H126" s="185">
        <f>IF(AND('Material+Limits'!$Q$23=TRUE,Daten!K126=1)=TRUE,1,0)</f>
        <v>0</v>
      </c>
      <c r="I126" s="185">
        <f>IF(AND('Material+Limits'!$Q$22=TRUE,Daten!J126=1)=TRUE,1,0)</f>
        <v>0</v>
      </c>
      <c r="J126" s="158">
        <f>IF(Daten!$U126=13,1,0)</f>
        <v>0</v>
      </c>
      <c r="K126" s="159">
        <f>IF(Daten!$U126&lt;&gt;Daten!$V126,1,IF(Daten!$U126=14,1,0))</f>
        <v>0</v>
      </c>
      <c r="L126" s="159">
        <f>IF(Daten!$U126&lt;&gt;Daten!$V126,1,IF(Daten!$U126=16,1,0))</f>
        <v>1</v>
      </c>
      <c r="M126" s="159">
        <f>IF(Daten!$V126=17,1,0)</f>
        <v>0</v>
      </c>
      <c r="N126" s="160">
        <f ca="1">IF(Daten!$W126=Sprache!$A$60,1,0)</f>
        <v>0</v>
      </c>
      <c r="O126" s="171">
        <f>IF(AND(Daten!$AK126&lt;=KINVARO!$AW$3,Daten!$AL126&gt;=KINVARO!$AW$3)=TRUE,1,0)</f>
        <v>1</v>
      </c>
      <c r="P126" s="172">
        <f>IF(AND(Daten!$Z126&lt;=KINVARO!$AW$4,Daten!$AA126&gt;=KINVARO!$AW$4)=TRUE,1,0)</f>
        <v>0</v>
      </c>
      <c r="Q126" s="172"/>
      <c r="R126" s="172">
        <f>IF(AND(Daten!$AC126&lt;='Material+Limits'!$I$58,Daten!$AD126&gt;='Material+Limits'!$I$58)=TRUE,1,0)</f>
        <v>0</v>
      </c>
      <c r="S126" s="23">
        <f ca="1">IF(Daten!$X126=Sprache!$A$125,1,0)</f>
        <v>1</v>
      </c>
      <c r="T126" s="24" t="str">
        <f ca="1">Sprache!$A$55</f>
        <v xml:space="preserve">Podnośnik T-75 </v>
      </c>
      <c r="U126" s="27">
        <v>16</v>
      </c>
      <c r="V126" s="23">
        <v>16</v>
      </c>
      <c r="W126" s="25">
        <f ca="1">Sprache!$A$131</f>
        <v>0</v>
      </c>
      <c r="X126" s="25">
        <f ca="1">Sprache!$A$126</f>
        <v>0</v>
      </c>
      <c r="Y126" s="25" t="str">
        <f ca="1">Sprache!$A$69</f>
        <v>Front</v>
      </c>
      <c r="Z126" s="25">
        <v>400</v>
      </c>
      <c r="AA126" s="24">
        <v>449</v>
      </c>
      <c r="AB126" s="25"/>
      <c r="AC126" s="26">
        <v>7</v>
      </c>
      <c r="AD126" s="54">
        <v>11</v>
      </c>
      <c r="AE126" s="25" t="s">
        <v>801</v>
      </c>
      <c r="AF126" s="25" t="str">
        <f ca="1">Sprache!$A$101</f>
        <v>Zestaw (prawy+lewy)</v>
      </c>
      <c r="AG126" s="25" t="s">
        <v>26</v>
      </c>
      <c r="AH126" s="25" t="str">
        <f ca="1">Sprache!$A$115</f>
        <v>Sprężyna standard</v>
      </c>
      <c r="AI126" s="25" t="s">
        <v>26</v>
      </c>
      <c r="AJ126" s="25" t="s">
        <v>26</v>
      </c>
      <c r="AK126" s="25">
        <f>'Material+Limits'!$K$9</f>
        <v>200</v>
      </c>
      <c r="AL126" s="24">
        <v>1200</v>
      </c>
      <c r="AM126" s="30"/>
      <c r="AN126" s="24"/>
    </row>
    <row r="127" spans="1:48" s="5" customFormat="1" x14ac:dyDescent="0.25">
      <c r="A127" t="str">
        <f t="shared" ca="1" si="3"/>
        <v/>
      </c>
      <c r="B127" t="str">
        <f t="shared" ca="1" si="2"/>
        <v/>
      </c>
      <c r="C127" s="79">
        <f>IF('Material+Limits'!$P$9=TRUE,1,0)</f>
        <v>0</v>
      </c>
      <c r="D127" s="39">
        <f>IF(Daten!$O127+Daten!$P127+Daten!$R127=3,1,0)</f>
        <v>0</v>
      </c>
      <c r="E127" s="184">
        <f ca="1">IF(AND('Material+Limits'!$Q$21=TRUE,Daten!N127=1)=TRUE,1,0)</f>
        <v>0</v>
      </c>
      <c r="F127" s="185">
        <f>IF(AND('Material+Limits'!$Q$25=TRUE,Daten!M127=1)=TRUE,1,0)</f>
        <v>0</v>
      </c>
      <c r="G127" s="185">
        <f>IF(AND('Material+Limits'!$Q$24=TRUE,Daten!L127=1)=TRUE,1,0)</f>
        <v>0</v>
      </c>
      <c r="H127" s="185">
        <f>IF(AND('Material+Limits'!$Q$23=TRUE,Daten!K127=1)=TRUE,1,0)</f>
        <v>0</v>
      </c>
      <c r="I127" s="185">
        <f>IF(AND('Material+Limits'!$Q$22=TRUE,Daten!J127=1)=TRUE,1,0)</f>
        <v>0</v>
      </c>
      <c r="J127" s="155">
        <f>IF(Daten!$U127=13,1,0)</f>
        <v>0</v>
      </c>
      <c r="K127" s="156">
        <f>IF(Daten!$U127&lt;&gt;Daten!$V127,1,IF(Daten!$U127=14,1,0))</f>
        <v>0</v>
      </c>
      <c r="L127" s="156">
        <f>IF(Daten!$U127&lt;&gt;Daten!$V127,1,IF(Daten!$U127=16,1,0))</f>
        <v>0</v>
      </c>
      <c r="M127" s="156">
        <f>IF(Daten!$V127=17,1,0)</f>
        <v>1</v>
      </c>
      <c r="N127" s="157">
        <f ca="1">IF(Daten!$W127=Sprache!$A$60,1,0)</f>
        <v>0</v>
      </c>
      <c r="O127" s="169">
        <f>IF(AND(Daten!$AK127&lt;=KINVARO!$AW$3,Daten!$AL127&gt;=KINVARO!$AW$3)=TRUE,1,0)</f>
        <v>1</v>
      </c>
      <c r="P127" s="170">
        <f>IF(AND(Daten!$Z127&lt;=KINVARO!$AW$4,Daten!$AA127&gt;=KINVARO!$AW$4)=TRUE,1,0)</f>
        <v>0</v>
      </c>
      <c r="Q127" s="170"/>
      <c r="R127" s="170">
        <f>IF(AND(Daten!$AC127&lt;='Material+Limits'!$I$58,Daten!$AD127&gt;='Material+Limits'!$I$58)=TRUE,1,0)</f>
        <v>0</v>
      </c>
      <c r="S127" s="29">
        <f ca="1">IF(Daten!$X127=Sprache!$A$125,1,0)</f>
        <v>1</v>
      </c>
      <c r="T127" s="28" t="str">
        <f ca="1">Sprache!$A$55</f>
        <v xml:space="preserve">Podnośnik T-75 </v>
      </c>
      <c r="U127" s="32">
        <v>17</v>
      </c>
      <c r="V127" s="29">
        <v>17</v>
      </c>
      <c r="W127" s="30">
        <f ca="1">Sprache!$A$131</f>
        <v>0</v>
      </c>
      <c r="X127" s="30">
        <f ca="1">Sprache!$A$126</f>
        <v>0</v>
      </c>
      <c r="Y127" s="30" t="str">
        <f ca="1">Sprache!$A$69</f>
        <v>Front</v>
      </c>
      <c r="Z127" s="30">
        <v>400</v>
      </c>
      <c r="AA127" s="28">
        <v>449</v>
      </c>
      <c r="AB127" s="30"/>
      <c r="AC127" s="31">
        <v>7</v>
      </c>
      <c r="AD127" s="53">
        <v>11</v>
      </c>
      <c r="AE127" s="30" t="s">
        <v>802</v>
      </c>
      <c r="AF127" s="30" t="str">
        <f ca="1">Sprache!$A$101</f>
        <v>Zestaw (prawy+lewy)</v>
      </c>
      <c r="AG127" s="30" t="s">
        <v>26</v>
      </c>
      <c r="AH127" s="30" t="str">
        <f ca="1">Sprache!$A$115</f>
        <v>Sprężyna standard</v>
      </c>
      <c r="AI127" s="30" t="s">
        <v>26</v>
      </c>
      <c r="AJ127" s="30" t="s">
        <v>26</v>
      </c>
      <c r="AK127" s="30">
        <f>'Material+Limits'!$K$9</f>
        <v>200</v>
      </c>
      <c r="AL127" s="28">
        <v>1200</v>
      </c>
      <c r="AM127" s="30"/>
      <c r="AN127" s="28"/>
    </row>
    <row r="128" spans="1:48" s="4" customFormat="1" x14ac:dyDescent="0.25">
      <c r="A128" t="str">
        <f t="shared" ca="1" si="3"/>
        <v/>
      </c>
      <c r="B128" t="str">
        <f t="shared" ca="1" si="2"/>
        <v/>
      </c>
      <c r="C128" s="79">
        <f>IF('Material+Limits'!$P$9=TRUE,1,0)</f>
        <v>0</v>
      </c>
      <c r="D128" s="39">
        <f>IF(Daten!$O128+Daten!$P128+Daten!$R128=3,1,0)</f>
        <v>0</v>
      </c>
      <c r="E128" s="184">
        <f ca="1">IF(AND('Material+Limits'!$Q$21=TRUE,Daten!N128=1)=TRUE,1,0)</f>
        <v>1</v>
      </c>
      <c r="F128" s="185">
        <f ca="1">IF(AND('Material+Limits'!$Q$25=TRUE,Daten!M128=1)=TRUE,1,0)</f>
        <v>0</v>
      </c>
      <c r="G128" s="185">
        <f ca="1">IF(AND('Material+Limits'!$Q$24=TRUE,Daten!L128=1)=TRUE,1,0)</f>
        <v>0</v>
      </c>
      <c r="H128" s="185">
        <f ca="1">IF(AND('Material+Limits'!$Q$23=TRUE,Daten!K128=1)=TRUE,1,0)</f>
        <v>0</v>
      </c>
      <c r="I128" s="185">
        <f ca="1">IF(AND('Material+Limits'!$Q$22=TRUE,Daten!J128=1)=TRUE,1,0)</f>
        <v>0</v>
      </c>
      <c r="J128" s="158">
        <f ca="1">IF(Daten!$U128=13,1,0)</f>
        <v>0</v>
      </c>
      <c r="K128" s="159">
        <f ca="1">IF(Daten!$U128&lt;&gt;Daten!$V128,1,IF(Daten!$U128=14,1,0))</f>
        <v>0</v>
      </c>
      <c r="L128" s="159">
        <f ca="1">IF(Daten!$U128&lt;&gt;Daten!$V128,1,IF(Daten!$U128=16,1,0))</f>
        <v>0</v>
      </c>
      <c r="M128" s="159">
        <f ca="1">IF(Daten!$V128=17,1,0)</f>
        <v>0</v>
      </c>
      <c r="N128" s="160">
        <f ca="1">IF(Daten!$W128=Sprache!$A$60,1,0)</f>
        <v>1</v>
      </c>
      <c r="O128" s="173">
        <f>IF(AND(Daten!$AK128&lt;=KINVARO!$AW$3,Daten!$AL128&gt;=KINVARO!$AW$3)=TRUE,1,0)</f>
        <v>1</v>
      </c>
      <c r="P128" s="174">
        <f>IF(AND(Daten!$Z128&lt;=KINVARO!$AW$4,Daten!$AA128&gt;=KINVARO!$AW$4)=TRUE,1,0)</f>
        <v>0</v>
      </c>
      <c r="Q128" s="174"/>
      <c r="R128" s="174">
        <f>IF(AND(Daten!$AC128&lt;='Material+Limits'!$I$58,Daten!$AD128&gt;='Material+Limits'!$I$58)=TRUE,1,0)</f>
        <v>0</v>
      </c>
      <c r="S128" s="38">
        <f ca="1">IF(Daten!$X128=Sprache!$A$125,1,0)</f>
        <v>1</v>
      </c>
      <c r="T128" s="57" t="str">
        <f ca="1">Sprache!$A$55</f>
        <v xml:space="preserve">Podnośnik T-75 </v>
      </c>
      <c r="U128" s="55">
        <f ca="1">Sprache!$A$64</f>
        <v>0</v>
      </c>
      <c r="V128" s="38">
        <f ca="1">Sprache!$A$64</f>
        <v>0</v>
      </c>
      <c r="W128" s="56" t="str">
        <f ca="1">Sprache!$A$60</f>
        <v>Front lity (drewno/płyta)</v>
      </c>
      <c r="X128" s="25">
        <f ca="1">Sprache!$A$126</f>
        <v>0</v>
      </c>
      <c r="Y128" s="56" t="str">
        <f ca="1">Sprache!$A$69</f>
        <v>Front</v>
      </c>
      <c r="Z128" s="56">
        <v>450</v>
      </c>
      <c r="AA128" s="57">
        <v>499</v>
      </c>
      <c r="AB128" s="56"/>
      <c r="AC128" s="58">
        <v>6.7</v>
      </c>
      <c r="AD128" s="59">
        <v>9.6</v>
      </c>
      <c r="AE128" s="56" t="s">
        <v>798</v>
      </c>
      <c r="AF128" s="56" t="str">
        <f ca="1">Sprache!$A$101</f>
        <v>Zestaw (prawy+lewy)</v>
      </c>
      <c r="AG128" s="56" t="s">
        <v>26</v>
      </c>
      <c r="AH128" s="56" t="str">
        <f ca="1">Sprache!$A$115</f>
        <v>Sprężyna standard</v>
      </c>
      <c r="AI128" s="25" t="s">
        <v>26</v>
      </c>
      <c r="AJ128" s="25" t="s">
        <v>26</v>
      </c>
      <c r="AK128" s="56">
        <f>'Material+Limits'!$K$9</f>
        <v>200</v>
      </c>
      <c r="AL128" s="57">
        <v>1200</v>
      </c>
      <c r="AM128" s="30"/>
      <c r="AN128" s="24"/>
    </row>
    <row r="129" spans="1:40" s="4" customFormat="1" x14ac:dyDescent="0.25">
      <c r="A129" t="str">
        <f t="shared" ca="1" si="3"/>
        <v/>
      </c>
      <c r="B129" t="str">
        <f t="shared" ca="1" si="2"/>
        <v/>
      </c>
      <c r="C129" s="79">
        <f>IF('Material+Limits'!$P$9=TRUE,1,0)</f>
        <v>0</v>
      </c>
      <c r="D129" s="39">
        <f>IF(Daten!$O129+Daten!$P129+Daten!$R129=3,1,0)</f>
        <v>0</v>
      </c>
      <c r="E129" s="184">
        <f ca="1">IF(AND('Material+Limits'!$Q$21=TRUE,Daten!N129=1)=TRUE,1,0)</f>
        <v>0</v>
      </c>
      <c r="F129" s="185">
        <f>IF(AND('Material+Limits'!$Q$25=TRUE,Daten!M129=1)=TRUE,1,0)</f>
        <v>0</v>
      </c>
      <c r="G129" s="185">
        <f>IF(AND('Material+Limits'!$Q$24=TRUE,Daten!L129=1)=TRUE,1,0)</f>
        <v>0</v>
      </c>
      <c r="H129" s="185">
        <f>IF(AND('Material+Limits'!$Q$23=TRUE,Daten!K129=1)=TRUE,1,0)</f>
        <v>0</v>
      </c>
      <c r="I129" s="185">
        <f>IF(AND('Material+Limits'!$Q$22=TRUE,Daten!J129=1)=TRUE,1,0)</f>
        <v>0</v>
      </c>
      <c r="J129" s="155">
        <f>IF(Daten!$U129=13,1,0)</f>
        <v>1</v>
      </c>
      <c r="K129" s="156">
        <f>IF(Daten!$U129&lt;&gt;Daten!$V129,1,IF(Daten!$U129=14,1,0))</f>
        <v>0</v>
      </c>
      <c r="L129" s="156">
        <f>IF(Daten!$U129&lt;&gt;Daten!$V129,1,IF(Daten!$U129=16,1,0))</f>
        <v>0</v>
      </c>
      <c r="M129" s="156">
        <f>IF(Daten!$V129=17,1,0)</f>
        <v>0</v>
      </c>
      <c r="N129" s="157">
        <f ca="1">IF(Daten!$W129=Sprache!$A$60,1,0)</f>
        <v>0</v>
      </c>
      <c r="O129" s="169">
        <f>IF(AND(Daten!$AK129&lt;=KINVARO!$AW$3,Daten!$AL129&gt;=KINVARO!$AW$3)=TRUE,1,0)</f>
        <v>1</v>
      </c>
      <c r="P129" s="170">
        <f>IF(AND(Daten!$Z129&lt;=KINVARO!$AW$4,Daten!$AA129&gt;=KINVARO!$AW$4)=TRUE,1,0)</f>
        <v>0</v>
      </c>
      <c r="Q129" s="170"/>
      <c r="R129" s="170">
        <f>IF(AND(Daten!$AC129&lt;='Material+Limits'!$I$58,Daten!$AD129&gt;='Material+Limits'!$I$58)=TRUE,1,0)</f>
        <v>0</v>
      </c>
      <c r="S129" s="29">
        <f ca="1">IF(Daten!$X129=Sprache!$A$125,1,0)</f>
        <v>1</v>
      </c>
      <c r="T129" s="28" t="str">
        <f ca="1">Sprache!$A$55</f>
        <v xml:space="preserve">Podnośnik T-75 </v>
      </c>
      <c r="U129" s="32">
        <v>13</v>
      </c>
      <c r="V129" s="29">
        <v>13</v>
      </c>
      <c r="W129" s="30">
        <f ca="1">Sprache!$A$131</f>
        <v>0</v>
      </c>
      <c r="X129" s="30">
        <f ca="1">Sprache!$A$126</f>
        <v>0</v>
      </c>
      <c r="Y129" s="30" t="str">
        <f ca="1">Sprache!$A$69</f>
        <v>Front</v>
      </c>
      <c r="Z129" s="30">
        <v>450</v>
      </c>
      <c r="AA129" s="28">
        <v>499</v>
      </c>
      <c r="AB129" s="30"/>
      <c r="AC129" s="31">
        <v>6.7</v>
      </c>
      <c r="AD129" s="53">
        <v>9.6</v>
      </c>
      <c r="AE129" s="30" t="s">
        <v>799</v>
      </c>
      <c r="AF129" s="30" t="str">
        <f ca="1">Sprache!$A$101</f>
        <v>Zestaw (prawy+lewy)</v>
      </c>
      <c r="AG129" s="30" t="s">
        <v>26</v>
      </c>
      <c r="AH129" s="30" t="str">
        <f ca="1">Sprache!$A$115</f>
        <v>Sprężyna standard</v>
      </c>
      <c r="AI129" s="30" t="s">
        <v>26</v>
      </c>
      <c r="AJ129" s="30" t="s">
        <v>26</v>
      </c>
      <c r="AK129" s="30">
        <f>'Material+Limits'!$K$9</f>
        <v>200</v>
      </c>
      <c r="AL129" s="28">
        <v>1200</v>
      </c>
      <c r="AM129" s="30"/>
      <c r="AN129" s="28"/>
    </row>
    <row r="130" spans="1:40" s="4" customFormat="1" x14ac:dyDescent="0.25">
      <c r="A130" t="str">
        <f t="shared" ca="1" si="3"/>
        <v/>
      </c>
      <c r="B130" t="str">
        <f t="shared" ref="B130:B193" ca="1" si="4">IF(F130+G130+H130+I130+D130+E130=2,1,"")</f>
        <v/>
      </c>
      <c r="C130" s="79">
        <f>IF('Material+Limits'!$P$9=TRUE,1,0)</f>
        <v>0</v>
      </c>
      <c r="D130" s="39">
        <f>IF(Daten!$O130+Daten!$P130+Daten!$R130=3,1,0)</f>
        <v>0</v>
      </c>
      <c r="E130" s="184">
        <f ca="1">IF(AND('Material+Limits'!$Q$21=TRUE,Daten!N130=1)=TRUE,1,0)</f>
        <v>0</v>
      </c>
      <c r="F130" s="185">
        <f>IF(AND('Material+Limits'!$Q$25=TRUE,Daten!M130=1)=TRUE,1,0)</f>
        <v>0</v>
      </c>
      <c r="G130" s="185">
        <f>IF(AND('Material+Limits'!$Q$24=TRUE,Daten!L130=1)=TRUE,1,0)</f>
        <v>0</v>
      </c>
      <c r="H130" s="185">
        <f>IF(AND('Material+Limits'!$Q$23=TRUE,Daten!K130=1)=TRUE,1,0)</f>
        <v>0</v>
      </c>
      <c r="I130" s="185">
        <f>IF(AND('Material+Limits'!$Q$22=TRUE,Daten!J130=1)=TRUE,1,0)</f>
        <v>0</v>
      </c>
      <c r="J130" s="158">
        <f>IF(Daten!$U130=13,1,0)</f>
        <v>0</v>
      </c>
      <c r="K130" s="159">
        <f>IF(Daten!$U130&lt;&gt;Daten!$V130,1,IF(Daten!$U130=14,1,0))</f>
        <v>1</v>
      </c>
      <c r="L130" s="159">
        <f>IF(Daten!$U130&lt;&gt;Daten!$V130,1,IF(Daten!$U130=16,1,0))</f>
        <v>0</v>
      </c>
      <c r="M130" s="159">
        <f>IF(Daten!$V130=17,1,0)</f>
        <v>0</v>
      </c>
      <c r="N130" s="160">
        <f ca="1">IF(Daten!$W130=Sprache!$A$60,1,0)</f>
        <v>0</v>
      </c>
      <c r="O130" s="171">
        <f>IF(AND(Daten!$AK130&lt;=KINVARO!$AW$3,Daten!$AL130&gt;=KINVARO!$AW$3)=TRUE,1,0)</f>
        <v>1</v>
      </c>
      <c r="P130" s="172">
        <f>IF(AND(Daten!$Z130&lt;=KINVARO!$AW$4,Daten!$AA130&gt;=KINVARO!$AW$4)=TRUE,1,0)</f>
        <v>0</v>
      </c>
      <c r="Q130" s="172"/>
      <c r="R130" s="172">
        <f>IF(AND(Daten!$AC130&lt;='Material+Limits'!$I$58,Daten!$AD130&gt;='Material+Limits'!$I$58)=TRUE,1,0)</f>
        <v>0</v>
      </c>
      <c r="S130" s="23">
        <f ca="1">IF(Daten!$X130=Sprache!$A$125,1,0)</f>
        <v>1</v>
      </c>
      <c r="T130" s="24" t="str">
        <f ca="1">Sprache!$A$55</f>
        <v xml:space="preserve">Podnośnik T-75 </v>
      </c>
      <c r="U130" s="27">
        <v>14</v>
      </c>
      <c r="V130" s="23">
        <v>14</v>
      </c>
      <c r="W130" s="25">
        <f ca="1">Sprache!$A$131</f>
        <v>0</v>
      </c>
      <c r="X130" s="25">
        <f ca="1">Sprache!$A$126</f>
        <v>0</v>
      </c>
      <c r="Y130" s="25" t="str">
        <f ca="1">Sprache!$A$69</f>
        <v>Front</v>
      </c>
      <c r="Z130" s="25">
        <v>450</v>
      </c>
      <c r="AA130" s="24">
        <v>499</v>
      </c>
      <c r="AB130" s="25"/>
      <c r="AC130" s="26">
        <v>6.7</v>
      </c>
      <c r="AD130" s="54">
        <v>9.6</v>
      </c>
      <c r="AE130" s="25" t="s">
        <v>800</v>
      </c>
      <c r="AF130" s="25" t="str">
        <f ca="1">Sprache!$A$101</f>
        <v>Zestaw (prawy+lewy)</v>
      </c>
      <c r="AG130" s="25" t="s">
        <v>26</v>
      </c>
      <c r="AH130" s="25" t="str">
        <f ca="1">Sprache!$A$115</f>
        <v>Sprężyna standard</v>
      </c>
      <c r="AI130" s="25" t="s">
        <v>26</v>
      </c>
      <c r="AJ130" s="25" t="s">
        <v>26</v>
      </c>
      <c r="AK130" s="25">
        <f>'Material+Limits'!$K$9</f>
        <v>200</v>
      </c>
      <c r="AL130" s="24">
        <v>1200</v>
      </c>
      <c r="AM130" s="30"/>
      <c r="AN130" s="24"/>
    </row>
    <row r="131" spans="1:40" s="4" customFormat="1" x14ac:dyDescent="0.25">
      <c r="A131" t="str">
        <f t="shared" ref="A131:A194" ca="1" si="5">IF(E131+F131+G131+H131+I131+C131+D131=3,1,"")</f>
        <v/>
      </c>
      <c r="B131" t="str">
        <f t="shared" ca="1" si="4"/>
        <v/>
      </c>
      <c r="C131" s="79">
        <f>IF('Material+Limits'!$P$9=TRUE,1,0)</f>
        <v>0</v>
      </c>
      <c r="D131" s="39">
        <f>IF(Daten!$O131+Daten!$P131+Daten!$R131=3,1,0)</f>
        <v>0</v>
      </c>
      <c r="E131" s="184">
        <f ca="1">IF(AND('Material+Limits'!$Q$21=TRUE,Daten!N131=1)=TRUE,1,0)</f>
        <v>0</v>
      </c>
      <c r="F131" s="185">
        <f>IF(AND('Material+Limits'!$Q$25=TRUE,Daten!M131=1)=TRUE,1,0)</f>
        <v>0</v>
      </c>
      <c r="G131" s="185">
        <f>IF(AND('Material+Limits'!$Q$24=TRUE,Daten!L131=1)=TRUE,1,0)</f>
        <v>0</v>
      </c>
      <c r="H131" s="185">
        <f>IF(AND('Material+Limits'!$Q$23=TRUE,Daten!K131=1)=TRUE,1,0)</f>
        <v>0</v>
      </c>
      <c r="I131" s="185">
        <f>IF(AND('Material+Limits'!$Q$22=TRUE,Daten!J131=1)=TRUE,1,0)</f>
        <v>0</v>
      </c>
      <c r="J131" s="155">
        <f>IF(Daten!$U131=13,1,0)</f>
        <v>0</v>
      </c>
      <c r="K131" s="156">
        <f>IF(Daten!$U131&lt;&gt;Daten!$V131,1,IF(Daten!$U131=14,1,0))</f>
        <v>0</v>
      </c>
      <c r="L131" s="156">
        <f>IF(Daten!$U131&lt;&gt;Daten!$V131,1,IF(Daten!$U131=16,1,0))</f>
        <v>1</v>
      </c>
      <c r="M131" s="156">
        <f>IF(Daten!$V131=17,1,0)</f>
        <v>0</v>
      </c>
      <c r="N131" s="157">
        <f ca="1">IF(Daten!$W131=Sprache!$A$60,1,0)</f>
        <v>0</v>
      </c>
      <c r="O131" s="169">
        <f>IF(AND(Daten!$AK131&lt;=KINVARO!$AW$3,Daten!$AL131&gt;=KINVARO!$AW$3)=TRUE,1,0)</f>
        <v>1</v>
      </c>
      <c r="P131" s="170">
        <f>IF(AND(Daten!$Z131&lt;=KINVARO!$AW$4,Daten!$AA131&gt;=KINVARO!$AW$4)=TRUE,1,0)</f>
        <v>0</v>
      </c>
      <c r="Q131" s="170"/>
      <c r="R131" s="170">
        <f>IF(AND(Daten!$AC131&lt;='Material+Limits'!$I$58,Daten!$AD131&gt;='Material+Limits'!$I$58)=TRUE,1,0)</f>
        <v>0</v>
      </c>
      <c r="S131" s="29">
        <f ca="1">IF(Daten!$X131=Sprache!$A$125,1,0)</f>
        <v>1</v>
      </c>
      <c r="T131" s="28" t="str">
        <f ca="1">Sprache!$A$55</f>
        <v xml:space="preserve">Podnośnik T-75 </v>
      </c>
      <c r="U131" s="32">
        <v>16</v>
      </c>
      <c r="V131" s="29">
        <v>16</v>
      </c>
      <c r="W131" s="30">
        <f ca="1">Sprache!$A$131</f>
        <v>0</v>
      </c>
      <c r="X131" s="30">
        <f ca="1">Sprache!$A$126</f>
        <v>0</v>
      </c>
      <c r="Y131" s="30" t="str">
        <f ca="1">Sprache!$A$69</f>
        <v>Front</v>
      </c>
      <c r="Z131" s="30">
        <v>450</v>
      </c>
      <c r="AA131" s="28">
        <v>499</v>
      </c>
      <c r="AB131" s="30"/>
      <c r="AC131" s="31">
        <v>6.7</v>
      </c>
      <c r="AD131" s="53">
        <v>9.6</v>
      </c>
      <c r="AE131" s="30" t="s">
        <v>801</v>
      </c>
      <c r="AF131" s="30" t="str">
        <f ca="1">Sprache!$A$101</f>
        <v>Zestaw (prawy+lewy)</v>
      </c>
      <c r="AG131" s="30" t="s">
        <v>26</v>
      </c>
      <c r="AH131" s="30" t="str">
        <f ca="1">Sprache!$A$115</f>
        <v>Sprężyna standard</v>
      </c>
      <c r="AI131" s="30" t="s">
        <v>26</v>
      </c>
      <c r="AJ131" s="30" t="s">
        <v>26</v>
      </c>
      <c r="AK131" s="30">
        <f>'Material+Limits'!$K$9</f>
        <v>200</v>
      </c>
      <c r="AL131" s="28">
        <v>1200</v>
      </c>
      <c r="AM131" s="30"/>
      <c r="AN131" s="28"/>
    </row>
    <row r="132" spans="1:40" s="5" customFormat="1" x14ac:dyDescent="0.25">
      <c r="A132" t="str">
        <f t="shared" ca="1" si="5"/>
        <v/>
      </c>
      <c r="B132" t="str">
        <f t="shared" ca="1" si="4"/>
        <v/>
      </c>
      <c r="C132" s="79">
        <f>IF('Material+Limits'!$P$9=TRUE,1,0)</f>
        <v>0</v>
      </c>
      <c r="D132" s="39">
        <f>IF(Daten!$O132+Daten!$P132+Daten!$R132=3,1,0)</f>
        <v>0</v>
      </c>
      <c r="E132" s="184">
        <f ca="1">IF(AND('Material+Limits'!$Q$21=TRUE,Daten!N132=1)=TRUE,1,0)</f>
        <v>0</v>
      </c>
      <c r="F132" s="185">
        <f>IF(AND('Material+Limits'!$Q$25=TRUE,Daten!M132=1)=TRUE,1,0)</f>
        <v>0</v>
      </c>
      <c r="G132" s="185">
        <f>IF(AND('Material+Limits'!$Q$24=TRUE,Daten!L132=1)=TRUE,1,0)</f>
        <v>0</v>
      </c>
      <c r="H132" s="185">
        <f>IF(AND('Material+Limits'!$Q$23=TRUE,Daten!K132=1)=TRUE,1,0)</f>
        <v>0</v>
      </c>
      <c r="I132" s="185">
        <f>IF(AND('Material+Limits'!$Q$22=TRUE,Daten!J132=1)=TRUE,1,0)</f>
        <v>0</v>
      </c>
      <c r="J132" s="158">
        <f>IF(Daten!$U132=13,1,0)</f>
        <v>0</v>
      </c>
      <c r="K132" s="159">
        <f>IF(Daten!$U132&lt;&gt;Daten!$V132,1,IF(Daten!$U132=14,1,0))</f>
        <v>0</v>
      </c>
      <c r="L132" s="159">
        <f>IF(Daten!$U132&lt;&gt;Daten!$V132,1,IF(Daten!$U132=16,1,0))</f>
        <v>0</v>
      </c>
      <c r="M132" s="159">
        <f>IF(Daten!$V132=17,1,0)</f>
        <v>1</v>
      </c>
      <c r="N132" s="160">
        <f ca="1">IF(Daten!$W132=Sprache!$A$60,1,0)</f>
        <v>0</v>
      </c>
      <c r="O132" s="171">
        <f>IF(AND(Daten!$AK132&lt;=KINVARO!$AW$3,Daten!$AL132&gt;=KINVARO!$AW$3)=TRUE,1,0)</f>
        <v>1</v>
      </c>
      <c r="P132" s="172">
        <f>IF(AND(Daten!$Z132&lt;=KINVARO!$AW$4,Daten!$AA132&gt;=KINVARO!$AW$4)=TRUE,1,0)</f>
        <v>0</v>
      </c>
      <c r="Q132" s="172"/>
      <c r="R132" s="172">
        <f>IF(AND(Daten!$AC132&lt;='Material+Limits'!$I$58,Daten!$AD132&gt;='Material+Limits'!$I$58)=TRUE,1,0)</f>
        <v>0</v>
      </c>
      <c r="S132" s="23">
        <f ca="1">IF(Daten!$X132=Sprache!$A$125,1,0)</f>
        <v>1</v>
      </c>
      <c r="T132" s="24" t="str">
        <f ca="1">Sprache!$A$55</f>
        <v xml:space="preserve">Podnośnik T-75 </v>
      </c>
      <c r="U132" s="27">
        <v>17</v>
      </c>
      <c r="V132" s="23">
        <v>17</v>
      </c>
      <c r="W132" s="25">
        <f ca="1">Sprache!$A$131</f>
        <v>0</v>
      </c>
      <c r="X132" s="25">
        <f ca="1">Sprache!$A$126</f>
        <v>0</v>
      </c>
      <c r="Y132" s="25" t="str">
        <f ca="1">Sprache!$A$69</f>
        <v>Front</v>
      </c>
      <c r="Z132" s="25">
        <v>450</v>
      </c>
      <c r="AA132" s="24">
        <v>499</v>
      </c>
      <c r="AB132" s="25"/>
      <c r="AC132" s="26">
        <v>6.7</v>
      </c>
      <c r="AD132" s="54">
        <v>9.6</v>
      </c>
      <c r="AE132" s="25" t="s">
        <v>802</v>
      </c>
      <c r="AF132" s="25" t="str">
        <f ca="1">Sprache!$A$101</f>
        <v>Zestaw (prawy+lewy)</v>
      </c>
      <c r="AG132" s="25" t="s">
        <v>26</v>
      </c>
      <c r="AH132" s="25" t="str">
        <f ca="1">Sprache!$A$115</f>
        <v>Sprężyna standard</v>
      </c>
      <c r="AI132" s="25" t="s">
        <v>26</v>
      </c>
      <c r="AJ132" s="25" t="s">
        <v>26</v>
      </c>
      <c r="AK132" s="25">
        <f>'Material+Limits'!$K$9</f>
        <v>200</v>
      </c>
      <c r="AL132" s="24">
        <v>1200</v>
      </c>
      <c r="AM132" s="30"/>
      <c r="AN132" s="24"/>
    </row>
    <row r="133" spans="1:40" s="4" customFormat="1" x14ac:dyDescent="0.25">
      <c r="A133" t="str">
        <f t="shared" ca="1" si="5"/>
        <v/>
      </c>
      <c r="B133" t="str">
        <f t="shared" ca="1" si="4"/>
        <v/>
      </c>
      <c r="C133" s="79">
        <f>IF('Material+Limits'!$P$9=TRUE,1,0)</f>
        <v>0</v>
      </c>
      <c r="D133" s="39">
        <f>IF(Daten!$O133+Daten!$P133+Daten!$R133=3,1,0)</f>
        <v>0</v>
      </c>
      <c r="E133" s="184">
        <f ca="1">IF(AND('Material+Limits'!$Q$21=TRUE,Daten!N133=1)=TRUE,1,0)</f>
        <v>1</v>
      </c>
      <c r="F133" s="185">
        <f ca="1">IF(AND('Material+Limits'!$Q$25=TRUE,Daten!M133=1)=TRUE,1,0)</f>
        <v>0</v>
      </c>
      <c r="G133" s="185">
        <f ca="1">IF(AND('Material+Limits'!$Q$24=TRUE,Daten!L133=1)=TRUE,1,0)</f>
        <v>0</v>
      </c>
      <c r="H133" s="185">
        <f ca="1">IF(AND('Material+Limits'!$Q$23=TRUE,Daten!K133=1)=TRUE,1,0)</f>
        <v>0</v>
      </c>
      <c r="I133" s="185">
        <f ca="1">IF(AND('Material+Limits'!$Q$22=TRUE,Daten!J133=1)=TRUE,1,0)</f>
        <v>0</v>
      </c>
      <c r="J133" s="155">
        <f ca="1">IF(Daten!$U133=13,1,0)</f>
        <v>0</v>
      </c>
      <c r="K133" s="156">
        <f ca="1">IF(Daten!$U133&lt;&gt;Daten!$V133,1,IF(Daten!$U133=14,1,0))</f>
        <v>0</v>
      </c>
      <c r="L133" s="156">
        <f ca="1">IF(Daten!$U133&lt;&gt;Daten!$V133,1,IF(Daten!$U133=16,1,0))</f>
        <v>0</v>
      </c>
      <c r="M133" s="156">
        <f ca="1">IF(Daten!$V133=17,1,0)</f>
        <v>0</v>
      </c>
      <c r="N133" s="157">
        <f ca="1">IF(Daten!$W133=Sprache!$A$60,1,0)</f>
        <v>1</v>
      </c>
      <c r="O133" s="177">
        <f>IF(AND(Daten!$AK133&lt;=KINVARO!$AW$3,Daten!$AL133&gt;=KINVARO!$AW$3)=TRUE,1,0)</f>
        <v>1</v>
      </c>
      <c r="P133" s="178">
        <f>IF(AND(Daten!$Z133&lt;=KINVARO!$AW$4,Daten!$AA133&gt;=KINVARO!$AW$4)=TRUE,1,0)</f>
        <v>0</v>
      </c>
      <c r="Q133" s="178"/>
      <c r="R133" s="178">
        <f>IF(AND(Daten!$AC133&lt;='Material+Limits'!$I$58,Daten!$AD133&gt;='Material+Limits'!$I$58)=TRUE,1,0)</f>
        <v>1</v>
      </c>
      <c r="S133" s="67">
        <f ca="1">IF(Daten!$X133=Sprache!$A$125,1,0)</f>
        <v>1</v>
      </c>
      <c r="T133" s="69" t="str">
        <f ca="1">Sprache!$A$55</f>
        <v xml:space="preserve">Podnośnik T-75 </v>
      </c>
      <c r="U133" s="66">
        <f ca="1">Sprache!$A$64</f>
        <v>0</v>
      </c>
      <c r="V133" s="67">
        <f ca="1">Sprache!$A$64</f>
        <v>0</v>
      </c>
      <c r="W133" s="68" t="str">
        <f ca="1">Sprache!$A$60</f>
        <v>Front lity (drewno/płyta)</v>
      </c>
      <c r="X133" s="30">
        <f ca="1">Sprache!$A$126</f>
        <v>0</v>
      </c>
      <c r="Y133" s="68" t="str">
        <f ca="1">Sprache!$A$69</f>
        <v>Front</v>
      </c>
      <c r="Z133" s="68">
        <v>500</v>
      </c>
      <c r="AA133" s="69">
        <v>549</v>
      </c>
      <c r="AB133" s="68"/>
      <c r="AC133" s="70">
        <v>5.8</v>
      </c>
      <c r="AD133" s="71">
        <v>8.5</v>
      </c>
      <c r="AE133" s="68" t="s">
        <v>798</v>
      </c>
      <c r="AF133" s="68" t="str">
        <f ca="1">Sprache!$A$101</f>
        <v>Zestaw (prawy+lewy)</v>
      </c>
      <c r="AG133" s="68" t="s">
        <v>26</v>
      </c>
      <c r="AH133" s="68" t="str">
        <f ca="1">Sprache!$A$115</f>
        <v>Sprężyna standard</v>
      </c>
      <c r="AI133" s="30" t="s">
        <v>26</v>
      </c>
      <c r="AJ133" s="30" t="s">
        <v>26</v>
      </c>
      <c r="AK133" s="68">
        <f>'Material+Limits'!$K$9</f>
        <v>200</v>
      </c>
      <c r="AL133" s="69">
        <v>1200</v>
      </c>
      <c r="AM133" s="30"/>
      <c r="AN133" s="28"/>
    </row>
    <row r="134" spans="1:40" s="4" customFormat="1" x14ac:dyDescent="0.25">
      <c r="A134" t="str">
        <f t="shared" ca="1" si="5"/>
        <v/>
      </c>
      <c r="B134" t="str">
        <f t="shared" ca="1" si="4"/>
        <v/>
      </c>
      <c r="C134" s="79">
        <f>IF('Material+Limits'!$P$9=TRUE,1,0)</f>
        <v>0</v>
      </c>
      <c r="D134" s="39">
        <f>IF(Daten!$O134+Daten!$P134+Daten!$R134=3,1,0)</f>
        <v>0</v>
      </c>
      <c r="E134" s="184">
        <f ca="1">IF(AND('Material+Limits'!$Q$21=TRUE,Daten!N134=1)=TRUE,1,0)</f>
        <v>0</v>
      </c>
      <c r="F134" s="185">
        <f>IF(AND('Material+Limits'!$Q$25=TRUE,Daten!M134=1)=TRUE,1,0)</f>
        <v>0</v>
      </c>
      <c r="G134" s="185">
        <f>IF(AND('Material+Limits'!$Q$24=TRUE,Daten!L134=1)=TRUE,1,0)</f>
        <v>0</v>
      </c>
      <c r="H134" s="185">
        <f>IF(AND('Material+Limits'!$Q$23=TRUE,Daten!K134=1)=TRUE,1,0)</f>
        <v>0</v>
      </c>
      <c r="I134" s="185">
        <f>IF(AND('Material+Limits'!$Q$22=TRUE,Daten!J134=1)=TRUE,1,0)</f>
        <v>0</v>
      </c>
      <c r="J134" s="158">
        <f>IF(Daten!$U134=13,1,0)</f>
        <v>1</v>
      </c>
      <c r="K134" s="159">
        <f>IF(Daten!$U134&lt;&gt;Daten!$V134,1,IF(Daten!$U134=14,1,0))</f>
        <v>0</v>
      </c>
      <c r="L134" s="159">
        <f>IF(Daten!$U134&lt;&gt;Daten!$V134,1,IF(Daten!$U134=16,1,0))</f>
        <v>0</v>
      </c>
      <c r="M134" s="159">
        <f>IF(Daten!$V134=17,1,0)</f>
        <v>0</v>
      </c>
      <c r="N134" s="160">
        <f ca="1">IF(Daten!$W134=Sprache!$A$60,1,0)</f>
        <v>0</v>
      </c>
      <c r="O134" s="171">
        <f>IF(AND(Daten!$AK134&lt;=KINVARO!$AW$3,Daten!$AL134&gt;=KINVARO!$AW$3)=TRUE,1,0)</f>
        <v>1</v>
      </c>
      <c r="P134" s="172">
        <f>IF(AND(Daten!$Z134&lt;=KINVARO!$AW$4,Daten!$AA134&gt;=KINVARO!$AW$4)=TRUE,1,0)</f>
        <v>0</v>
      </c>
      <c r="Q134" s="172"/>
      <c r="R134" s="172">
        <f>IF(AND(Daten!$AC134&lt;='Material+Limits'!$I$58,Daten!$AD134&gt;='Material+Limits'!$I$58)=TRUE,1,0)</f>
        <v>1</v>
      </c>
      <c r="S134" s="23">
        <f ca="1">IF(Daten!$X134=Sprache!$A$125,1,0)</f>
        <v>1</v>
      </c>
      <c r="T134" s="24" t="str">
        <f ca="1">Sprache!$A$55</f>
        <v xml:space="preserve">Podnośnik T-75 </v>
      </c>
      <c r="U134" s="27">
        <v>13</v>
      </c>
      <c r="V134" s="23">
        <v>13</v>
      </c>
      <c r="W134" s="25">
        <f ca="1">Sprache!$A$131</f>
        <v>0</v>
      </c>
      <c r="X134" s="25">
        <f ca="1">Sprache!$A$126</f>
        <v>0</v>
      </c>
      <c r="Y134" s="25" t="str">
        <f ca="1">Sprache!$A$69</f>
        <v>Front</v>
      </c>
      <c r="Z134" s="25">
        <v>500</v>
      </c>
      <c r="AA134" s="24">
        <v>549</v>
      </c>
      <c r="AB134" s="25"/>
      <c r="AC134" s="26">
        <v>5.8</v>
      </c>
      <c r="AD134" s="54">
        <v>8.5</v>
      </c>
      <c r="AE134" s="25" t="s">
        <v>799</v>
      </c>
      <c r="AF134" s="25" t="str">
        <f ca="1">Sprache!$A$101</f>
        <v>Zestaw (prawy+lewy)</v>
      </c>
      <c r="AG134" s="25" t="s">
        <v>26</v>
      </c>
      <c r="AH134" s="25" t="str">
        <f ca="1">Sprache!$A$115</f>
        <v>Sprężyna standard</v>
      </c>
      <c r="AI134" s="25" t="s">
        <v>26</v>
      </c>
      <c r="AJ134" s="25" t="s">
        <v>26</v>
      </c>
      <c r="AK134" s="25">
        <f>'Material+Limits'!$K$9</f>
        <v>200</v>
      </c>
      <c r="AL134" s="24">
        <v>1200</v>
      </c>
      <c r="AM134" s="30"/>
      <c r="AN134" s="24"/>
    </row>
    <row r="135" spans="1:40" s="4" customFormat="1" x14ac:dyDescent="0.25">
      <c r="A135" t="str">
        <f t="shared" ca="1" si="5"/>
        <v/>
      </c>
      <c r="B135" t="str">
        <f t="shared" ca="1" si="4"/>
        <v/>
      </c>
      <c r="C135" s="79">
        <f>IF('Material+Limits'!$P$9=TRUE,1,0)</f>
        <v>0</v>
      </c>
      <c r="D135" s="39">
        <f>IF(Daten!$O135+Daten!$P135+Daten!$R135=3,1,0)</f>
        <v>0</v>
      </c>
      <c r="E135" s="184">
        <f ca="1">IF(AND('Material+Limits'!$Q$21=TRUE,Daten!N135=1)=TRUE,1,0)</f>
        <v>0</v>
      </c>
      <c r="F135" s="185">
        <f>IF(AND('Material+Limits'!$Q$25=TRUE,Daten!M135=1)=TRUE,1,0)</f>
        <v>0</v>
      </c>
      <c r="G135" s="185">
        <f>IF(AND('Material+Limits'!$Q$24=TRUE,Daten!L135=1)=TRUE,1,0)</f>
        <v>0</v>
      </c>
      <c r="H135" s="185">
        <f>IF(AND('Material+Limits'!$Q$23=TRUE,Daten!K135=1)=TRUE,1,0)</f>
        <v>0</v>
      </c>
      <c r="I135" s="185">
        <f>IF(AND('Material+Limits'!$Q$22=TRUE,Daten!J135=1)=TRUE,1,0)</f>
        <v>0</v>
      </c>
      <c r="J135" s="155">
        <f>IF(Daten!$U135=13,1,0)</f>
        <v>0</v>
      </c>
      <c r="K135" s="156">
        <f>IF(Daten!$U135&lt;&gt;Daten!$V135,1,IF(Daten!$U135=14,1,0))</f>
        <v>1</v>
      </c>
      <c r="L135" s="156">
        <f>IF(Daten!$U135&lt;&gt;Daten!$V135,1,IF(Daten!$U135=16,1,0))</f>
        <v>0</v>
      </c>
      <c r="M135" s="156">
        <f>IF(Daten!$V135=17,1,0)</f>
        <v>0</v>
      </c>
      <c r="N135" s="157">
        <f ca="1">IF(Daten!$W135=Sprache!$A$60,1,0)</f>
        <v>0</v>
      </c>
      <c r="O135" s="169">
        <f>IF(AND(Daten!$AK135&lt;=KINVARO!$AW$3,Daten!$AL135&gt;=KINVARO!$AW$3)=TRUE,1,0)</f>
        <v>1</v>
      </c>
      <c r="P135" s="170">
        <f>IF(AND(Daten!$Z135&lt;=KINVARO!$AW$4,Daten!$AA135&gt;=KINVARO!$AW$4)=TRUE,1,0)</f>
        <v>0</v>
      </c>
      <c r="Q135" s="170"/>
      <c r="R135" s="170">
        <f>IF(AND(Daten!$AC135&lt;='Material+Limits'!$I$58,Daten!$AD135&gt;='Material+Limits'!$I$58)=TRUE,1,0)</f>
        <v>1</v>
      </c>
      <c r="S135" s="29">
        <f ca="1">IF(Daten!$X135=Sprache!$A$125,1,0)</f>
        <v>1</v>
      </c>
      <c r="T135" s="28" t="str">
        <f ca="1">Sprache!$A$55</f>
        <v xml:space="preserve">Podnośnik T-75 </v>
      </c>
      <c r="U135" s="32">
        <v>14</v>
      </c>
      <c r="V135" s="29">
        <v>14</v>
      </c>
      <c r="W135" s="30">
        <f ca="1">Sprache!$A$131</f>
        <v>0</v>
      </c>
      <c r="X135" s="30">
        <f ca="1">Sprache!$A$126</f>
        <v>0</v>
      </c>
      <c r="Y135" s="30" t="str">
        <f ca="1">Sprache!$A$69</f>
        <v>Front</v>
      </c>
      <c r="Z135" s="30">
        <v>500</v>
      </c>
      <c r="AA135" s="28">
        <v>549</v>
      </c>
      <c r="AB135" s="30"/>
      <c r="AC135" s="31">
        <v>5.8</v>
      </c>
      <c r="AD135" s="53">
        <v>8.5</v>
      </c>
      <c r="AE135" s="30" t="s">
        <v>800</v>
      </c>
      <c r="AF135" s="30" t="str">
        <f ca="1">Sprache!$A$101</f>
        <v>Zestaw (prawy+lewy)</v>
      </c>
      <c r="AG135" s="30" t="s">
        <v>26</v>
      </c>
      <c r="AH135" s="30" t="str">
        <f ca="1">Sprache!$A$115</f>
        <v>Sprężyna standard</v>
      </c>
      <c r="AI135" s="30" t="s">
        <v>26</v>
      </c>
      <c r="AJ135" s="30" t="s">
        <v>26</v>
      </c>
      <c r="AK135" s="30">
        <f>'Material+Limits'!$K$9</f>
        <v>200</v>
      </c>
      <c r="AL135" s="28">
        <v>1200</v>
      </c>
      <c r="AM135" s="30"/>
      <c r="AN135" s="28"/>
    </row>
    <row r="136" spans="1:40" s="4" customFormat="1" x14ac:dyDescent="0.25">
      <c r="A136" t="str">
        <f t="shared" ca="1" si="5"/>
        <v/>
      </c>
      <c r="B136" t="str">
        <f t="shared" ca="1" si="4"/>
        <v/>
      </c>
      <c r="C136" s="79">
        <f>IF('Material+Limits'!$P$9=TRUE,1,0)</f>
        <v>0</v>
      </c>
      <c r="D136" s="39">
        <f>IF(Daten!$O136+Daten!$P136+Daten!$R136=3,1,0)</f>
        <v>0</v>
      </c>
      <c r="E136" s="184">
        <f ca="1">IF(AND('Material+Limits'!$Q$21=TRUE,Daten!N136=1)=TRUE,1,0)</f>
        <v>0</v>
      </c>
      <c r="F136" s="185">
        <f>IF(AND('Material+Limits'!$Q$25=TRUE,Daten!M136=1)=TRUE,1,0)</f>
        <v>0</v>
      </c>
      <c r="G136" s="185">
        <f>IF(AND('Material+Limits'!$Q$24=TRUE,Daten!L136=1)=TRUE,1,0)</f>
        <v>0</v>
      </c>
      <c r="H136" s="185">
        <f>IF(AND('Material+Limits'!$Q$23=TRUE,Daten!K136=1)=TRUE,1,0)</f>
        <v>0</v>
      </c>
      <c r="I136" s="185">
        <f>IF(AND('Material+Limits'!$Q$22=TRUE,Daten!J136=1)=TRUE,1,0)</f>
        <v>0</v>
      </c>
      <c r="J136" s="158">
        <f>IF(Daten!$U136=13,1,0)</f>
        <v>0</v>
      </c>
      <c r="K136" s="159">
        <f>IF(Daten!$U136&lt;&gt;Daten!$V136,1,IF(Daten!$U136=14,1,0))</f>
        <v>0</v>
      </c>
      <c r="L136" s="159">
        <f>IF(Daten!$U136&lt;&gt;Daten!$V136,1,IF(Daten!$U136=16,1,0))</f>
        <v>1</v>
      </c>
      <c r="M136" s="159">
        <f>IF(Daten!$V136=17,1,0)</f>
        <v>0</v>
      </c>
      <c r="N136" s="160">
        <f ca="1">IF(Daten!$W136=Sprache!$A$60,1,0)</f>
        <v>0</v>
      </c>
      <c r="O136" s="171">
        <f>IF(AND(Daten!$AK136&lt;=KINVARO!$AW$3,Daten!$AL136&gt;=KINVARO!$AW$3)=TRUE,1,0)</f>
        <v>1</v>
      </c>
      <c r="P136" s="172">
        <f>IF(AND(Daten!$Z136&lt;=KINVARO!$AW$4,Daten!$AA136&gt;=KINVARO!$AW$4)=TRUE,1,0)</f>
        <v>0</v>
      </c>
      <c r="Q136" s="172"/>
      <c r="R136" s="172">
        <f>IF(AND(Daten!$AC136&lt;='Material+Limits'!$I$58,Daten!$AD136&gt;='Material+Limits'!$I$58)=TRUE,1,0)</f>
        <v>1</v>
      </c>
      <c r="S136" s="23">
        <f ca="1">IF(Daten!$X136=Sprache!$A$125,1,0)</f>
        <v>1</v>
      </c>
      <c r="T136" s="24" t="str">
        <f ca="1">Sprache!$A$55</f>
        <v xml:space="preserve">Podnośnik T-75 </v>
      </c>
      <c r="U136" s="27">
        <v>16</v>
      </c>
      <c r="V136" s="23">
        <v>16</v>
      </c>
      <c r="W136" s="25">
        <f ca="1">Sprache!$A$131</f>
        <v>0</v>
      </c>
      <c r="X136" s="25">
        <f ca="1">Sprache!$A$126</f>
        <v>0</v>
      </c>
      <c r="Y136" s="25" t="str">
        <f ca="1">Sprache!$A$69</f>
        <v>Front</v>
      </c>
      <c r="Z136" s="25">
        <v>500</v>
      </c>
      <c r="AA136" s="24">
        <v>549</v>
      </c>
      <c r="AB136" s="25"/>
      <c r="AC136" s="26">
        <v>5.8</v>
      </c>
      <c r="AD136" s="54">
        <v>8.5</v>
      </c>
      <c r="AE136" s="25" t="s">
        <v>801</v>
      </c>
      <c r="AF136" s="25" t="str">
        <f ca="1">Sprache!$A$101</f>
        <v>Zestaw (prawy+lewy)</v>
      </c>
      <c r="AG136" s="25" t="s">
        <v>26</v>
      </c>
      <c r="AH136" s="25" t="str">
        <f ca="1">Sprache!$A$115</f>
        <v>Sprężyna standard</v>
      </c>
      <c r="AI136" s="25" t="s">
        <v>26</v>
      </c>
      <c r="AJ136" s="25" t="s">
        <v>26</v>
      </c>
      <c r="AK136" s="25">
        <f>'Material+Limits'!$K$9</f>
        <v>200</v>
      </c>
      <c r="AL136" s="24">
        <v>1200</v>
      </c>
      <c r="AM136" s="30"/>
      <c r="AN136" s="24"/>
    </row>
    <row r="137" spans="1:40" s="5" customFormat="1" x14ac:dyDescent="0.25">
      <c r="A137" t="str">
        <f t="shared" ca="1" si="5"/>
        <v/>
      </c>
      <c r="B137" t="str">
        <f t="shared" ca="1" si="4"/>
        <v/>
      </c>
      <c r="C137" s="79">
        <f>IF('Material+Limits'!$P$9=TRUE,1,0)</f>
        <v>0</v>
      </c>
      <c r="D137" s="39">
        <f>IF(Daten!$O137+Daten!$P137+Daten!$R137=3,1,0)</f>
        <v>0</v>
      </c>
      <c r="E137" s="184">
        <f ca="1">IF(AND('Material+Limits'!$Q$21=TRUE,Daten!N137=1)=TRUE,1,0)</f>
        <v>0</v>
      </c>
      <c r="F137" s="185">
        <f>IF(AND('Material+Limits'!$Q$25=TRUE,Daten!M137=1)=TRUE,1,0)</f>
        <v>0</v>
      </c>
      <c r="G137" s="185">
        <f>IF(AND('Material+Limits'!$Q$24=TRUE,Daten!L137=1)=TRUE,1,0)</f>
        <v>0</v>
      </c>
      <c r="H137" s="185">
        <f>IF(AND('Material+Limits'!$Q$23=TRUE,Daten!K137=1)=TRUE,1,0)</f>
        <v>0</v>
      </c>
      <c r="I137" s="185">
        <f>IF(AND('Material+Limits'!$Q$22=TRUE,Daten!J137=1)=TRUE,1,0)</f>
        <v>0</v>
      </c>
      <c r="J137" s="155">
        <f>IF(Daten!$U137=13,1,0)</f>
        <v>0</v>
      </c>
      <c r="K137" s="156">
        <f>IF(Daten!$U137&lt;&gt;Daten!$V137,1,IF(Daten!$U137=14,1,0))</f>
        <v>0</v>
      </c>
      <c r="L137" s="156">
        <f>IF(Daten!$U137&lt;&gt;Daten!$V137,1,IF(Daten!$U137=16,1,0))</f>
        <v>0</v>
      </c>
      <c r="M137" s="156">
        <f>IF(Daten!$V137=17,1,0)</f>
        <v>1</v>
      </c>
      <c r="N137" s="157">
        <f ca="1">IF(Daten!$W137=Sprache!$A$60,1,0)</f>
        <v>0</v>
      </c>
      <c r="O137" s="169">
        <f>IF(AND(Daten!$AK137&lt;=KINVARO!$AW$3,Daten!$AL137&gt;=KINVARO!$AW$3)=TRUE,1,0)</f>
        <v>1</v>
      </c>
      <c r="P137" s="170">
        <f>IF(AND(Daten!$Z137&lt;=KINVARO!$AW$4,Daten!$AA137&gt;=KINVARO!$AW$4)=TRUE,1,0)</f>
        <v>0</v>
      </c>
      <c r="Q137" s="170"/>
      <c r="R137" s="170">
        <f>IF(AND(Daten!$AC137&lt;='Material+Limits'!$I$58,Daten!$AD137&gt;='Material+Limits'!$I$58)=TRUE,1,0)</f>
        <v>1</v>
      </c>
      <c r="S137" s="29">
        <f ca="1">IF(Daten!$X137=Sprache!$A$125,1,0)</f>
        <v>1</v>
      </c>
      <c r="T137" s="28" t="str">
        <f ca="1">Sprache!$A$55</f>
        <v xml:space="preserve">Podnośnik T-75 </v>
      </c>
      <c r="U137" s="32">
        <v>17</v>
      </c>
      <c r="V137" s="29">
        <v>17</v>
      </c>
      <c r="W137" s="30">
        <f ca="1">Sprache!$A$131</f>
        <v>0</v>
      </c>
      <c r="X137" s="30">
        <f ca="1">Sprache!$A$126</f>
        <v>0</v>
      </c>
      <c r="Y137" s="30" t="str">
        <f ca="1">Sprache!$A$69</f>
        <v>Front</v>
      </c>
      <c r="Z137" s="30">
        <v>500</v>
      </c>
      <c r="AA137" s="28">
        <v>549</v>
      </c>
      <c r="AB137" s="30"/>
      <c r="AC137" s="31">
        <v>5.8</v>
      </c>
      <c r="AD137" s="53">
        <v>8.5</v>
      </c>
      <c r="AE137" s="30" t="s">
        <v>802</v>
      </c>
      <c r="AF137" s="30" t="str">
        <f ca="1">Sprache!$A$101</f>
        <v>Zestaw (prawy+lewy)</v>
      </c>
      <c r="AG137" s="30" t="s">
        <v>26</v>
      </c>
      <c r="AH137" s="30" t="str">
        <f ca="1">Sprache!$A$115</f>
        <v>Sprężyna standard</v>
      </c>
      <c r="AI137" s="30" t="s">
        <v>26</v>
      </c>
      <c r="AJ137" s="30" t="s">
        <v>26</v>
      </c>
      <c r="AK137" s="30">
        <f>'Material+Limits'!$K$9</f>
        <v>200</v>
      </c>
      <c r="AL137" s="28">
        <v>1200</v>
      </c>
      <c r="AM137" s="30"/>
      <c r="AN137" s="28"/>
    </row>
    <row r="138" spans="1:40" s="4" customFormat="1" x14ac:dyDescent="0.25">
      <c r="A138" t="str">
        <f t="shared" ca="1" si="5"/>
        <v/>
      </c>
      <c r="B138">
        <f t="shared" ca="1" si="4"/>
        <v>1</v>
      </c>
      <c r="C138" s="79">
        <f>IF('Material+Limits'!$P$9=TRUE,1,0)</f>
        <v>0</v>
      </c>
      <c r="D138" s="39">
        <f>IF(Daten!$O138+Daten!$P138+Daten!$R138=3,1,0)</f>
        <v>1</v>
      </c>
      <c r="E138" s="184">
        <f ca="1">IF(AND('Material+Limits'!$Q$21=TRUE,Daten!N138=1)=TRUE,1,0)</f>
        <v>1</v>
      </c>
      <c r="F138" s="185">
        <f ca="1">IF(AND('Material+Limits'!$Q$25=TRUE,Daten!M138=1)=TRUE,1,0)</f>
        <v>0</v>
      </c>
      <c r="G138" s="185">
        <f ca="1">IF(AND('Material+Limits'!$Q$24=TRUE,Daten!L138=1)=TRUE,1,0)</f>
        <v>0</v>
      </c>
      <c r="H138" s="185">
        <f ca="1">IF(AND('Material+Limits'!$Q$23=TRUE,Daten!K138=1)=TRUE,1,0)</f>
        <v>0</v>
      </c>
      <c r="I138" s="185">
        <f ca="1">IF(AND('Material+Limits'!$Q$22=TRUE,Daten!J138=1)=TRUE,1,0)</f>
        <v>0</v>
      </c>
      <c r="J138" s="158">
        <f ca="1">IF(Daten!$U138=13,1,0)</f>
        <v>0</v>
      </c>
      <c r="K138" s="159">
        <f ca="1">IF(Daten!$U138&lt;&gt;Daten!$V138,1,IF(Daten!$U138=14,1,0))</f>
        <v>0</v>
      </c>
      <c r="L138" s="159">
        <f ca="1">IF(Daten!$U138&lt;&gt;Daten!$V138,1,IF(Daten!$U138=16,1,0))</f>
        <v>0</v>
      </c>
      <c r="M138" s="159">
        <f ca="1">IF(Daten!$V138=17,1,0)</f>
        <v>0</v>
      </c>
      <c r="N138" s="160">
        <f ca="1">IF(Daten!$W138=Sprache!$A$60,1,0)</f>
        <v>1</v>
      </c>
      <c r="O138" s="173">
        <f>IF(AND(Daten!$AK138&lt;=KINVARO!$AW$3,Daten!$AL138&gt;=KINVARO!$AW$3)=TRUE,1,0)</f>
        <v>1</v>
      </c>
      <c r="P138" s="174">
        <f>IF(AND(Daten!$Z138&lt;=KINVARO!$AW$4,Daten!$AA138&gt;=KINVARO!$AW$4)=TRUE,1,0)</f>
        <v>1</v>
      </c>
      <c r="Q138" s="174"/>
      <c r="R138" s="174">
        <f>IF(AND(Daten!$AC138&lt;='Material+Limits'!$I$58,Daten!$AD138&gt;='Material+Limits'!$I$58)=TRUE,1,0)</f>
        <v>1</v>
      </c>
      <c r="S138" s="38">
        <f ca="1">IF(Daten!$X138=Sprache!$A$125,1,0)</f>
        <v>1</v>
      </c>
      <c r="T138" s="57" t="str">
        <f ca="1">Sprache!$A$55</f>
        <v xml:space="preserve">Podnośnik T-75 </v>
      </c>
      <c r="U138" s="55">
        <f ca="1">Sprache!$A$64</f>
        <v>0</v>
      </c>
      <c r="V138" s="38">
        <f ca="1">Sprache!$A$64</f>
        <v>0</v>
      </c>
      <c r="W138" s="56" t="str">
        <f ca="1">Sprache!$A$60</f>
        <v>Front lity (drewno/płyta)</v>
      </c>
      <c r="X138" s="25">
        <f ca="1">Sprache!$A$126</f>
        <v>0</v>
      </c>
      <c r="Y138" s="56" t="str">
        <f ca="1">Sprache!$A$69</f>
        <v>Front</v>
      </c>
      <c r="Z138" s="56">
        <v>550</v>
      </c>
      <c r="AA138" s="57">
        <v>599</v>
      </c>
      <c r="AB138" s="56"/>
      <c r="AC138" s="58">
        <v>5.6</v>
      </c>
      <c r="AD138" s="59">
        <v>7.6</v>
      </c>
      <c r="AE138" s="56" t="s">
        <v>798</v>
      </c>
      <c r="AF138" s="56" t="str">
        <f ca="1">Sprache!$A$101</f>
        <v>Zestaw (prawy+lewy)</v>
      </c>
      <c r="AG138" s="56" t="s">
        <v>26</v>
      </c>
      <c r="AH138" s="56" t="str">
        <f ca="1">Sprache!$A$115</f>
        <v>Sprężyna standard</v>
      </c>
      <c r="AI138" s="25" t="s">
        <v>26</v>
      </c>
      <c r="AJ138" s="25" t="s">
        <v>26</v>
      </c>
      <c r="AK138" s="56">
        <f>'Material+Limits'!$K$9</f>
        <v>200</v>
      </c>
      <c r="AL138" s="57">
        <v>1200</v>
      </c>
      <c r="AM138" s="30"/>
      <c r="AN138" s="24"/>
    </row>
    <row r="139" spans="1:40" s="4" customFormat="1" x14ac:dyDescent="0.25">
      <c r="A139" t="str">
        <f t="shared" ca="1" si="5"/>
        <v/>
      </c>
      <c r="B139" t="str">
        <f t="shared" ca="1" si="4"/>
        <v/>
      </c>
      <c r="C139" s="79">
        <f>IF('Material+Limits'!$P$9=TRUE,1,0)</f>
        <v>0</v>
      </c>
      <c r="D139" s="39">
        <f>IF(Daten!$O139+Daten!$P139+Daten!$R139=3,1,0)</f>
        <v>1</v>
      </c>
      <c r="E139" s="184">
        <f ca="1">IF(AND('Material+Limits'!$Q$21=TRUE,Daten!N139=1)=TRUE,1,0)</f>
        <v>0</v>
      </c>
      <c r="F139" s="185">
        <f>IF(AND('Material+Limits'!$Q$25=TRUE,Daten!M139=1)=TRUE,1,0)</f>
        <v>0</v>
      </c>
      <c r="G139" s="185">
        <f>IF(AND('Material+Limits'!$Q$24=TRUE,Daten!L139=1)=TRUE,1,0)</f>
        <v>0</v>
      </c>
      <c r="H139" s="185">
        <f>IF(AND('Material+Limits'!$Q$23=TRUE,Daten!K139=1)=TRUE,1,0)</f>
        <v>0</v>
      </c>
      <c r="I139" s="185">
        <f>IF(AND('Material+Limits'!$Q$22=TRUE,Daten!J139=1)=TRUE,1,0)</f>
        <v>0</v>
      </c>
      <c r="J139" s="155">
        <f>IF(Daten!$U139=13,1,0)</f>
        <v>1</v>
      </c>
      <c r="K139" s="156">
        <f>IF(Daten!$U139&lt;&gt;Daten!$V139,1,IF(Daten!$U139=14,1,0))</f>
        <v>0</v>
      </c>
      <c r="L139" s="156">
        <f>IF(Daten!$U139&lt;&gt;Daten!$V139,1,IF(Daten!$U139=16,1,0))</f>
        <v>0</v>
      </c>
      <c r="M139" s="156">
        <f>IF(Daten!$V139=17,1,0)</f>
        <v>0</v>
      </c>
      <c r="N139" s="157">
        <f ca="1">IF(Daten!$W139=Sprache!$A$60,1,0)</f>
        <v>0</v>
      </c>
      <c r="O139" s="169">
        <f>IF(AND(Daten!$AK139&lt;=KINVARO!$AW$3,Daten!$AL139&gt;=KINVARO!$AW$3)=TRUE,1,0)</f>
        <v>1</v>
      </c>
      <c r="P139" s="170">
        <f>IF(AND(Daten!$Z139&lt;=KINVARO!$AW$4,Daten!$AA139&gt;=KINVARO!$AW$4)=TRUE,1,0)</f>
        <v>1</v>
      </c>
      <c r="Q139" s="170"/>
      <c r="R139" s="170">
        <f>IF(AND(Daten!$AC139&lt;='Material+Limits'!$I$58,Daten!$AD139&gt;='Material+Limits'!$I$58)=TRUE,1,0)</f>
        <v>1</v>
      </c>
      <c r="S139" s="29">
        <f ca="1">IF(Daten!$X139=Sprache!$A$125,1,0)</f>
        <v>1</v>
      </c>
      <c r="T139" s="28" t="str">
        <f ca="1">Sprache!$A$55</f>
        <v xml:space="preserve">Podnośnik T-75 </v>
      </c>
      <c r="U139" s="32">
        <v>13</v>
      </c>
      <c r="V139" s="29">
        <v>13</v>
      </c>
      <c r="W139" s="30">
        <f ca="1">Sprache!$A$131</f>
        <v>0</v>
      </c>
      <c r="X139" s="30">
        <f ca="1">Sprache!$A$126</f>
        <v>0</v>
      </c>
      <c r="Y139" s="30" t="str">
        <f ca="1">Sprache!$A$69</f>
        <v>Front</v>
      </c>
      <c r="Z139" s="30">
        <v>550</v>
      </c>
      <c r="AA139" s="28">
        <v>599</v>
      </c>
      <c r="AB139" s="30"/>
      <c r="AC139" s="31">
        <v>5.6</v>
      </c>
      <c r="AD139" s="53">
        <v>7.6</v>
      </c>
      <c r="AE139" s="30" t="s">
        <v>799</v>
      </c>
      <c r="AF139" s="30" t="str">
        <f ca="1">Sprache!$A$101</f>
        <v>Zestaw (prawy+lewy)</v>
      </c>
      <c r="AG139" s="30" t="s">
        <v>26</v>
      </c>
      <c r="AH139" s="30" t="str">
        <f ca="1">Sprache!$A$115</f>
        <v>Sprężyna standard</v>
      </c>
      <c r="AI139" s="30" t="s">
        <v>26</v>
      </c>
      <c r="AJ139" s="30" t="s">
        <v>26</v>
      </c>
      <c r="AK139" s="30">
        <f>'Material+Limits'!$K$9</f>
        <v>200</v>
      </c>
      <c r="AL139" s="28">
        <v>1200</v>
      </c>
      <c r="AM139" s="30"/>
      <c r="AN139" s="28"/>
    </row>
    <row r="140" spans="1:40" s="4" customFormat="1" x14ac:dyDescent="0.25">
      <c r="A140" t="str">
        <f t="shared" ca="1" si="5"/>
        <v/>
      </c>
      <c r="B140" t="str">
        <f t="shared" ca="1" si="4"/>
        <v/>
      </c>
      <c r="C140" s="79">
        <f>IF('Material+Limits'!$P$9=TRUE,1,0)</f>
        <v>0</v>
      </c>
      <c r="D140" s="39">
        <f>IF(Daten!$O140+Daten!$P140+Daten!$R140=3,1,0)</f>
        <v>1</v>
      </c>
      <c r="E140" s="184">
        <f ca="1">IF(AND('Material+Limits'!$Q$21=TRUE,Daten!N140=1)=TRUE,1,0)</f>
        <v>0</v>
      </c>
      <c r="F140" s="185">
        <f>IF(AND('Material+Limits'!$Q$25=TRUE,Daten!M140=1)=TRUE,1,0)</f>
        <v>0</v>
      </c>
      <c r="G140" s="185">
        <f>IF(AND('Material+Limits'!$Q$24=TRUE,Daten!L140=1)=TRUE,1,0)</f>
        <v>0</v>
      </c>
      <c r="H140" s="185">
        <f>IF(AND('Material+Limits'!$Q$23=TRUE,Daten!K140=1)=TRUE,1,0)</f>
        <v>0</v>
      </c>
      <c r="I140" s="185">
        <f>IF(AND('Material+Limits'!$Q$22=TRUE,Daten!J140=1)=TRUE,1,0)</f>
        <v>0</v>
      </c>
      <c r="J140" s="158">
        <f>IF(Daten!$U140=13,1,0)</f>
        <v>0</v>
      </c>
      <c r="K140" s="159">
        <f>IF(Daten!$U140&lt;&gt;Daten!$V140,1,IF(Daten!$U140=14,1,0))</f>
        <v>1</v>
      </c>
      <c r="L140" s="159">
        <f>IF(Daten!$U140&lt;&gt;Daten!$V140,1,IF(Daten!$U140=16,1,0))</f>
        <v>0</v>
      </c>
      <c r="M140" s="159">
        <f>IF(Daten!$V140=17,1,0)</f>
        <v>0</v>
      </c>
      <c r="N140" s="160">
        <f ca="1">IF(Daten!$W140=Sprache!$A$60,1,0)</f>
        <v>0</v>
      </c>
      <c r="O140" s="171">
        <f>IF(AND(Daten!$AK140&lt;=KINVARO!$AW$3,Daten!$AL140&gt;=KINVARO!$AW$3)=TRUE,1,0)</f>
        <v>1</v>
      </c>
      <c r="P140" s="172">
        <f>IF(AND(Daten!$Z140&lt;=KINVARO!$AW$4,Daten!$AA140&gt;=KINVARO!$AW$4)=TRUE,1,0)</f>
        <v>1</v>
      </c>
      <c r="Q140" s="172"/>
      <c r="R140" s="172">
        <f>IF(AND(Daten!$AC140&lt;='Material+Limits'!$I$58,Daten!$AD140&gt;='Material+Limits'!$I$58)=TRUE,1,0)</f>
        <v>1</v>
      </c>
      <c r="S140" s="23">
        <f ca="1">IF(Daten!$X140=Sprache!$A$125,1,0)</f>
        <v>1</v>
      </c>
      <c r="T140" s="24" t="str">
        <f ca="1">Sprache!$A$55</f>
        <v xml:space="preserve">Podnośnik T-75 </v>
      </c>
      <c r="U140" s="27">
        <v>14</v>
      </c>
      <c r="V140" s="23">
        <v>14</v>
      </c>
      <c r="W140" s="25">
        <f ca="1">Sprache!$A$131</f>
        <v>0</v>
      </c>
      <c r="X140" s="25">
        <f ca="1">Sprache!$A$126</f>
        <v>0</v>
      </c>
      <c r="Y140" s="25" t="str">
        <f ca="1">Sprache!$A$69</f>
        <v>Front</v>
      </c>
      <c r="Z140" s="25">
        <v>550</v>
      </c>
      <c r="AA140" s="24">
        <v>599</v>
      </c>
      <c r="AB140" s="25"/>
      <c r="AC140" s="26">
        <v>5.6</v>
      </c>
      <c r="AD140" s="54">
        <v>7.6</v>
      </c>
      <c r="AE140" s="25" t="s">
        <v>800</v>
      </c>
      <c r="AF140" s="25" t="str">
        <f ca="1">Sprache!$A$101</f>
        <v>Zestaw (prawy+lewy)</v>
      </c>
      <c r="AG140" s="25" t="s">
        <v>26</v>
      </c>
      <c r="AH140" s="25" t="str">
        <f ca="1">Sprache!$A$115</f>
        <v>Sprężyna standard</v>
      </c>
      <c r="AI140" s="25" t="s">
        <v>26</v>
      </c>
      <c r="AJ140" s="25" t="s">
        <v>26</v>
      </c>
      <c r="AK140" s="25">
        <f>'Material+Limits'!$K$9</f>
        <v>200</v>
      </c>
      <c r="AL140" s="24">
        <v>1200</v>
      </c>
      <c r="AM140" s="30"/>
      <c r="AN140" s="24"/>
    </row>
    <row r="141" spans="1:40" s="4" customFormat="1" x14ac:dyDescent="0.25">
      <c r="A141" t="str">
        <f t="shared" ca="1" si="5"/>
        <v/>
      </c>
      <c r="B141" t="str">
        <f t="shared" ca="1" si="4"/>
        <v/>
      </c>
      <c r="C141" s="79">
        <f>IF('Material+Limits'!$P$9=TRUE,1,0)</f>
        <v>0</v>
      </c>
      <c r="D141" s="39">
        <f>IF(Daten!$O141+Daten!$P141+Daten!$R141=3,1,0)</f>
        <v>1</v>
      </c>
      <c r="E141" s="184">
        <f ca="1">IF(AND('Material+Limits'!$Q$21=TRUE,Daten!N141=1)=TRUE,1,0)</f>
        <v>0</v>
      </c>
      <c r="F141" s="185">
        <f>IF(AND('Material+Limits'!$Q$25=TRUE,Daten!M141=1)=TRUE,1,0)</f>
        <v>0</v>
      </c>
      <c r="G141" s="185">
        <f>IF(AND('Material+Limits'!$Q$24=TRUE,Daten!L141=1)=TRUE,1,0)</f>
        <v>0</v>
      </c>
      <c r="H141" s="185">
        <f>IF(AND('Material+Limits'!$Q$23=TRUE,Daten!K141=1)=TRUE,1,0)</f>
        <v>0</v>
      </c>
      <c r="I141" s="185">
        <f>IF(AND('Material+Limits'!$Q$22=TRUE,Daten!J141=1)=TRUE,1,0)</f>
        <v>0</v>
      </c>
      <c r="J141" s="155">
        <f>IF(Daten!$U141=13,1,0)</f>
        <v>0</v>
      </c>
      <c r="K141" s="156">
        <f>IF(Daten!$U141&lt;&gt;Daten!$V141,1,IF(Daten!$U141=14,1,0))</f>
        <v>0</v>
      </c>
      <c r="L141" s="156">
        <f>IF(Daten!$U141&lt;&gt;Daten!$V141,1,IF(Daten!$U141=16,1,0))</f>
        <v>1</v>
      </c>
      <c r="M141" s="156">
        <f>IF(Daten!$V141=17,1,0)</f>
        <v>0</v>
      </c>
      <c r="N141" s="157">
        <f ca="1">IF(Daten!$W141=Sprache!$A$60,1,0)</f>
        <v>0</v>
      </c>
      <c r="O141" s="169">
        <f>IF(AND(Daten!$AK141&lt;=KINVARO!$AW$3,Daten!$AL141&gt;=KINVARO!$AW$3)=TRUE,1,0)</f>
        <v>1</v>
      </c>
      <c r="P141" s="170">
        <f>IF(AND(Daten!$Z141&lt;=KINVARO!$AW$4,Daten!$AA141&gt;=KINVARO!$AW$4)=TRUE,1,0)</f>
        <v>1</v>
      </c>
      <c r="Q141" s="170"/>
      <c r="R141" s="170">
        <f>IF(AND(Daten!$AC141&lt;='Material+Limits'!$I$58,Daten!$AD141&gt;='Material+Limits'!$I$58)=TRUE,1,0)</f>
        <v>1</v>
      </c>
      <c r="S141" s="29">
        <f ca="1">IF(Daten!$X141=Sprache!$A$125,1,0)</f>
        <v>1</v>
      </c>
      <c r="T141" s="28" t="str">
        <f ca="1">Sprache!$A$55</f>
        <v xml:space="preserve">Podnośnik T-75 </v>
      </c>
      <c r="U141" s="32">
        <v>16</v>
      </c>
      <c r="V141" s="29">
        <v>16</v>
      </c>
      <c r="W141" s="30">
        <f ca="1">Sprache!$A$131</f>
        <v>0</v>
      </c>
      <c r="X141" s="30">
        <f ca="1">Sprache!$A$126</f>
        <v>0</v>
      </c>
      <c r="Y141" s="30" t="str">
        <f ca="1">Sprache!$A$69</f>
        <v>Front</v>
      </c>
      <c r="Z141" s="30">
        <v>550</v>
      </c>
      <c r="AA141" s="28">
        <v>599</v>
      </c>
      <c r="AB141" s="30"/>
      <c r="AC141" s="31">
        <v>5.6</v>
      </c>
      <c r="AD141" s="53">
        <v>7.6</v>
      </c>
      <c r="AE141" s="30" t="s">
        <v>801</v>
      </c>
      <c r="AF141" s="30" t="str">
        <f ca="1">Sprache!$A$101</f>
        <v>Zestaw (prawy+lewy)</v>
      </c>
      <c r="AG141" s="30" t="s">
        <v>26</v>
      </c>
      <c r="AH141" s="30" t="str">
        <f ca="1">Sprache!$A$115</f>
        <v>Sprężyna standard</v>
      </c>
      <c r="AI141" s="30" t="s">
        <v>26</v>
      </c>
      <c r="AJ141" s="30" t="s">
        <v>26</v>
      </c>
      <c r="AK141" s="30">
        <f>'Material+Limits'!$K$9</f>
        <v>200</v>
      </c>
      <c r="AL141" s="28">
        <v>1200</v>
      </c>
      <c r="AM141" s="30"/>
      <c r="AN141" s="28"/>
    </row>
    <row r="142" spans="1:40" s="5" customFormat="1" x14ac:dyDescent="0.25">
      <c r="A142" t="str">
        <f t="shared" ca="1" si="5"/>
        <v/>
      </c>
      <c r="B142" t="str">
        <f t="shared" ca="1" si="4"/>
        <v/>
      </c>
      <c r="C142" s="79">
        <f>IF('Material+Limits'!$P$9=TRUE,1,0)</f>
        <v>0</v>
      </c>
      <c r="D142" s="39">
        <f>IF(Daten!$O142+Daten!$P142+Daten!$R142=3,1,0)</f>
        <v>1</v>
      </c>
      <c r="E142" s="184">
        <f ca="1">IF(AND('Material+Limits'!$Q$21=TRUE,Daten!N142=1)=TRUE,1,0)</f>
        <v>0</v>
      </c>
      <c r="F142" s="185">
        <f>IF(AND('Material+Limits'!$Q$25=TRUE,Daten!M142=1)=TRUE,1,0)</f>
        <v>0</v>
      </c>
      <c r="G142" s="185">
        <f>IF(AND('Material+Limits'!$Q$24=TRUE,Daten!L142=1)=TRUE,1,0)</f>
        <v>0</v>
      </c>
      <c r="H142" s="185">
        <f>IF(AND('Material+Limits'!$Q$23=TRUE,Daten!K142=1)=TRUE,1,0)</f>
        <v>0</v>
      </c>
      <c r="I142" s="185">
        <f>IF(AND('Material+Limits'!$Q$22=TRUE,Daten!J142=1)=TRUE,1,0)</f>
        <v>0</v>
      </c>
      <c r="J142" s="158">
        <f>IF(Daten!$U142=13,1,0)</f>
        <v>0</v>
      </c>
      <c r="K142" s="159">
        <f>IF(Daten!$U142&lt;&gt;Daten!$V142,1,IF(Daten!$U142=14,1,0))</f>
        <v>0</v>
      </c>
      <c r="L142" s="159">
        <f>IF(Daten!$U142&lt;&gt;Daten!$V142,1,IF(Daten!$U142=16,1,0))</f>
        <v>0</v>
      </c>
      <c r="M142" s="159">
        <f>IF(Daten!$V142=17,1,0)</f>
        <v>1</v>
      </c>
      <c r="N142" s="160">
        <f ca="1">IF(Daten!$W142=Sprache!$A$60,1,0)</f>
        <v>0</v>
      </c>
      <c r="O142" s="171">
        <f>IF(AND(Daten!$AK142&lt;=KINVARO!$AW$3,Daten!$AL142&gt;=KINVARO!$AW$3)=TRUE,1,0)</f>
        <v>1</v>
      </c>
      <c r="P142" s="172">
        <f>IF(AND(Daten!$Z142&lt;=KINVARO!$AW$4,Daten!$AA142&gt;=KINVARO!$AW$4)=TRUE,1,0)</f>
        <v>1</v>
      </c>
      <c r="Q142" s="172"/>
      <c r="R142" s="172">
        <f>IF(AND(Daten!$AC142&lt;='Material+Limits'!$I$58,Daten!$AD142&gt;='Material+Limits'!$I$58)=TRUE,1,0)</f>
        <v>1</v>
      </c>
      <c r="S142" s="23">
        <f ca="1">IF(Daten!$X142=Sprache!$A$125,1,0)</f>
        <v>1</v>
      </c>
      <c r="T142" s="24" t="str">
        <f ca="1">Sprache!$A$55</f>
        <v xml:space="preserve">Podnośnik T-75 </v>
      </c>
      <c r="U142" s="27">
        <v>17</v>
      </c>
      <c r="V142" s="23">
        <v>17</v>
      </c>
      <c r="W142" s="25">
        <f ca="1">Sprache!$A$131</f>
        <v>0</v>
      </c>
      <c r="X142" s="25">
        <f ca="1">Sprache!$A$126</f>
        <v>0</v>
      </c>
      <c r="Y142" s="25" t="str">
        <f ca="1">Sprache!$A$69</f>
        <v>Front</v>
      </c>
      <c r="Z142" s="25">
        <v>550</v>
      </c>
      <c r="AA142" s="24">
        <v>599</v>
      </c>
      <c r="AB142" s="25"/>
      <c r="AC142" s="26">
        <v>5.6</v>
      </c>
      <c r="AD142" s="54">
        <v>7.6</v>
      </c>
      <c r="AE142" s="25" t="s">
        <v>802</v>
      </c>
      <c r="AF142" s="25" t="str">
        <f ca="1">Sprache!$A$101</f>
        <v>Zestaw (prawy+lewy)</v>
      </c>
      <c r="AG142" s="25" t="s">
        <v>26</v>
      </c>
      <c r="AH142" s="25" t="str">
        <f ca="1">Sprache!$A$115</f>
        <v>Sprężyna standard</v>
      </c>
      <c r="AI142" s="25" t="s">
        <v>26</v>
      </c>
      <c r="AJ142" s="25" t="s">
        <v>26</v>
      </c>
      <c r="AK142" s="25">
        <f>'Material+Limits'!$K$9</f>
        <v>200</v>
      </c>
      <c r="AL142" s="24">
        <v>1200</v>
      </c>
      <c r="AM142" s="30"/>
      <c r="AN142" s="24"/>
    </row>
    <row r="143" spans="1:40" s="4" customFormat="1" x14ac:dyDescent="0.25">
      <c r="A143" t="str">
        <f t="shared" ca="1" si="5"/>
        <v/>
      </c>
      <c r="B143" t="str">
        <f t="shared" ca="1" si="4"/>
        <v/>
      </c>
      <c r="C143" s="79">
        <f>IF('Material+Limits'!$P$9=TRUE,1,0)</f>
        <v>0</v>
      </c>
      <c r="D143" s="39">
        <f>IF(Daten!$O143+Daten!$P143+Daten!$R143=3,1,0)</f>
        <v>0</v>
      </c>
      <c r="E143" s="184">
        <f ca="1">IF(AND('Material+Limits'!$Q$21=TRUE,Daten!N143=1)=TRUE,1,0)</f>
        <v>1</v>
      </c>
      <c r="F143" s="185">
        <f ca="1">IF(AND('Material+Limits'!$Q$25=TRUE,Daten!M143=1)=TRUE,1,0)</f>
        <v>0</v>
      </c>
      <c r="G143" s="185">
        <f ca="1">IF(AND('Material+Limits'!$Q$24=TRUE,Daten!L143=1)=TRUE,1,0)</f>
        <v>0</v>
      </c>
      <c r="H143" s="185">
        <f ca="1">IF(AND('Material+Limits'!$Q$23=TRUE,Daten!K143=1)=TRUE,1,0)</f>
        <v>0</v>
      </c>
      <c r="I143" s="185">
        <f ca="1">IF(AND('Material+Limits'!$Q$22=TRUE,Daten!J143=1)=TRUE,1,0)</f>
        <v>0</v>
      </c>
      <c r="J143" s="155">
        <f ca="1">IF(Daten!$U143=13,1,0)</f>
        <v>0</v>
      </c>
      <c r="K143" s="156">
        <f ca="1">IF(Daten!$U143&lt;&gt;Daten!$V143,1,IF(Daten!$U143=14,1,0))</f>
        <v>0</v>
      </c>
      <c r="L143" s="156">
        <f ca="1">IF(Daten!$U143&lt;&gt;Daten!$V143,1,IF(Daten!$U143=16,1,0))</f>
        <v>0</v>
      </c>
      <c r="M143" s="156">
        <f ca="1">IF(Daten!$V143=17,1,0)</f>
        <v>0</v>
      </c>
      <c r="N143" s="157">
        <f ca="1">IF(Daten!$W143=Sprache!$A$60,1,0)</f>
        <v>1</v>
      </c>
      <c r="O143" s="177">
        <f>IF(AND(Daten!$AK143&lt;=KINVARO!$AW$3,Daten!$AL143&gt;=KINVARO!$AW$3)=TRUE,1,0)</f>
        <v>1</v>
      </c>
      <c r="P143" s="178">
        <f>IF(AND(Daten!$Z143&lt;=KINVARO!$AW$4,Daten!$AA143&gt;=KINVARO!$AW$4)=TRUE,1,0)</f>
        <v>0</v>
      </c>
      <c r="Q143" s="178"/>
      <c r="R143" s="178">
        <f>IF(AND(Daten!$AC143&lt;='Material+Limits'!$I$58,Daten!$AD143&gt;='Material+Limits'!$I$58)=TRUE,1,0)</f>
        <v>1</v>
      </c>
      <c r="S143" s="67">
        <f ca="1">IF(Daten!$X143=Sprache!$A$125,1,0)</f>
        <v>1</v>
      </c>
      <c r="T143" s="69" t="str">
        <f ca="1">Sprache!$A$55</f>
        <v xml:space="preserve">Podnośnik T-75 </v>
      </c>
      <c r="U143" s="66">
        <f ca="1">Sprache!$A$64</f>
        <v>0</v>
      </c>
      <c r="V143" s="67">
        <f ca="1">Sprache!$A$64</f>
        <v>0</v>
      </c>
      <c r="W143" s="68" t="str">
        <f ca="1">Sprache!$A$60</f>
        <v>Front lity (drewno/płyta)</v>
      </c>
      <c r="X143" s="30">
        <f ca="1">Sprache!$A$126</f>
        <v>0</v>
      </c>
      <c r="Y143" s="68" t="str">
        <f ca="1">Sprache!$A$69</f>
        <v>Front</v>
      </c>
      <c r="Z143" s="68">
        <v>600</v>
      </c>
      <c r="AA143" s="69">
        <v>600</v>
      </c>
      <c r="AB143" s="68"/>
      <c r="AC143" s="70">
        <v>5.2</v>
      </c>
      <c r="AD143" s="71">
        <v>7</v>
      </c>
      <c r="AE143" s="68" t="s">
        <v>798</v>
      </c>
      <c r="AF143" s="68" t="str">
        <f ca="1">Sprache!$A$101</f>
        <v>Zestaw (prawy+lewy)</v>
      </c>
      <c r="AG143" s="68" t="s">
        <v>26</v>
      </c>
      <c r="AH143" s="68" t="str">
        <f ca="1">Sprache!$A$115</f>
        <v>Sprężyna standard</v>
      </c>
      <c r="AI143" s="30" t="s">
        <v>26</v>
      </c>
      <c r="AJ143" s="30" t="s">
        <v>26</v>
      </c>
      <c r="AK143" s="68">
        <f>'Material+Limits'!$K$9</f>
        <v>200</v>
      </c>
      <c r="AL143" s="69">
        <v>1200</v>
      </c>
      <c r="AM143" s="30"/>
      <c r="AN143" s="28"/>
    </row>
    <row r="144" spans="1:40" s="4" customFormat="1" x14ac:dyDescent="0.25">
      <c r="A144" t="str">
        <f t="shared" ca="1" si="5"/>
        <v/>
      </c>
      <c r="B144" t="str">
        <f t="shared" ca="1" si="4"/>
        <v/>
      </c>
      <c r="C144" s="79">
        <f>IF('Material+Limits'!$P$9=TRUE,1,0)</f>
        <v>0</v>
      </c>
      <c r="D144" s="39">
        <f>IF(Daten!$O144+Daten!$P144+Daten!$R144=3,1,0)</f>
        <v>0</v>
      </c>
      <c r="E144" s="184">
        <f ca="1">IF(AND('Material+Limits'!$Q$21=TRUE,Daten!N144=1)=TRUE,1,0)</f>
        <v>0</v>
      </c>
      <c r="F144" s="185">
        <f>IF(AND('Material+Limits'!$Q$25=TRUE,Daten!M144=1)=TRUE,1,0)</f>
        <v>0</v>
      </c>
      <c r="G144" s="185">
        <f>IF(AND('Material+Limits'!$Q$24=TRUE,Daten!L144=1)=TRUE,1,0)</f>
        <v>0</v>
      </c>
      <c r="H144" s="185">
        <f>IF(AND('Material+Limits'!$Q$23=TRUE,Daten!K144=1)=TRUE,1,0)</f>
        <v>0</v>
      </c>
      <c r="I144" s="185">
        <f>IF(AND('Material+Limits'!$Q$22=TRUE,Daten!J144=1)=TRUE,1,0)</f>
        <v>0</v>
      </c>
      <c r="J144" s="158">
        <f>IF(Daten!$U144=13,1,0)</f>
        <v>1</v>
      </c>
      <c r="K144" s="159">
        <f>IF(Daten!$U144&lt;&gt;Daten!$V144,1,IF(Daten!$U144=14,1,0))</f>
        <v>0</v>
      </c>
      <c r="L144" s="159">
        <f>IF(Daten!$U144&lt;&gt;Daten!$V144,1,IF(Daten!$U144=16,1,0))</f>
        <v>0</v>
      </c>
      <c r="M144" s="159">
        <f>IF(Daten!$V144=17,1,0)</f>
        <v>0</v>
      </c>
      <c r="N144" s="160">
        <f ca="1">IF(Daten!$W144=Sprache!$A$60,1,0)</f>
        <v>0</v>
      </c>
      <c r="O144" s="171">
        <f>IF(AND(Daten!$AK144&lt;=KINVARO!$AW$3,Daten!$AL144&gt;=KINVARO!$AW$3)=TRUE,1,0)</f>
        <v>1</v>
      </c>
      <c r="P144" s="172">
        <f>IF(AND(Daten!$Z144&lt;=KINVARO!$AW$4,Daten!$AA144&gt;=KINVARO!$AW$4)=TRUE,1,0)</f>
        <v>0</v>
      </c>
      <c r="Q144" s="172"/>
      <c r="R144" s="172">
        <f>IF(AND(Daten!$AC144&lt;='Material+Limits'!$I$58,Daten!$AD144&gt;='Material+Limits'!$I$58)=TRUE,1,0)</f>
        <v>1</v>
      </c>
      <c r="S144" s="23">
        <f ca="1">IF(Daten!$X144=Sprache!$A$125,1,0)</f>
        <v>1</v>
      </c>
      <c r="T144" s="24" t="str">
        <f ca="1">Sprache!$A$55</f>
        <v xml:space="preserve">Podnośnik T-75 </v>
      </c>
      <c r="U144" s="27">
        <v>13</v>
      </c>
      <c r="V144" s="23">
        <v>13</v>
      </c>
      <c r="W144" s="25">
        <f ca="1">Sprache!$A$131</f>
        <v>0</v>
      </c>
      <c r="X144" s="25">
        <f ca="1">Sprache!$A$126</f>
        <v>0</v>
      </c>
      <c r="Y144" s="25" t="str">
        <f ca="1">Sprache!$A$69</f>
        <v>Front</v>
      </c>
      <c r="Z144" s="25">
        <v>600</v>
      </c>
      <c r="AA144" s="24">
        <v>600</v>
      </c>
      <c r="AB144" s="25"/>
      <c r="AC144" s="26">
        <v>5.2</v>
      </c>
      <c r="AD144" s="54">
        <v>7</v>
      </c>
      <c r="AE144" s="25" t="s">
        <v>799</v>
      </c>
      <c r="AF144" s="25" t="str">
        <f ca="1">Sprache!$A$101</f>
        <v>Zestaw (prawy+lewy)</v>
      </c>
      <c r="AG144" s="25" t="s">
        <v>26</v>
      </c>
      <c r="AH144" s="25" t="str">
        <f ca="1">Sprache!$A$115</f>
        <v>Sprężyna standard</v>
      </c>
      <c r="AI144" s="25" t="s">
        <v>26</v>
      </c>
      <c r="AJ144" s="25" t="s">
        <v>26</v>
      </c>
      <c r="AK144" s="25">
        <f>'Material+Limits'!$K$9</f>
        <v>200</v>
      </c>
      <c r="AL144" s="24">
        <v>1200</v>
      </c>
      <c r="AM144" s="30"/>
      <c r="AN144" s="24"/>
    </row>
    <row r="145" spans="1:48" s="4" customFormat="1" x14ac:dyDescent="0.25">
      <c r="A145" t="str">
        <f t="shared" ca="1" si="5"/>
        <v/>
      </c>
      <c r="B145" t="str">
        <f t="shared" ca="1" si="4"/>
        <v/>
      </c>
      <c r="C145" s="79">
        <f>IF('Material+Limits'!$P$9=TRUE,1,0)</f>
        <v>0</v>
      </c>
      <c r="D145" s="39">
        <f>IF(Daten!$O145+Daten!$P145+Daten!$R145=3,1,0)</f>
        <v>0</v>
      </c>
      <c r="E145" s="184">
        <f ca="1">IF(AND('Material+Limits'!$Q$21=TRUE,Daten!N145=1)=TRUE,1,0)</f>
        <v>0</v>
      </c>
      <c r="F145" s="185">
        <f>IF(AND('Material+Limits'!$Q$25=TRUE,Daten!M145=1)=TRUE,1,0)</f>
        <v>0</v>
      </c>
      <c r="G145" s="185">
        <f>IF(AND('Material+Limits'!$Q$24=TRUE,Daten!L145=1)=TRUE,1,0)</f>
        <v>0</v>
      </c>
      <c r="H145" s="185">
        <f>IF(AND('Material+Limits'!$Q$23=TRUE,Daten!K145=1)=TRUE,1,0)</f>
        <v>0</v>
      </c>
      <c r="I145" s="185">
        <f>IF(AND('Material+Limits'!$Q$22=TRUE,Daten!J145=1)=TRUE,1,0)</f>
        <v>0</v>
      </c>
      <c r="J145" s="155">
        <f>IF(Daten!$U145=13,1,0)</f>
        <v>0</v>
      </c>
      <c r="K145" s="156">
        <f>IF(Daten!$U145&lt;&gt;Daten!$V145,1,IF(Daten!$U145=14,1,0))</f>
        <v>1</v>
      </c>
      <c r="L145" s="156">
        <f>IF(Daten!$U145&lt;&gt;Daten!$V145,1,IF(Daten!$U145=16,1,0))</f>
        <v>0</v>
      </c>
      <c r="M145" s="156">
        <f>IF(Daten!$V145=17,1,0)</f>
        <v>0</v>
      </c>
      <c r="N145" s="157">
        <f ca="1">IF(Daten!$W145=Sprache!$A$60,1,0)</f>
        <v>0</v>
      </c>
      <c r="O145" s="169">
        <f>IF(AND(Daten!$AK145&lt;=KINVARO!$AW$3,Daten!$AL145&gt;=KINVARO!$AW$3)=TRUE,1,0)</f>
        <v>1</v>
      </c>
      <c r="P145" s="170">
        <f>IF(AND(Daten!$Z145&lt;=KINVARO!$AW$4,Daten!$AA145&gt;=KINVARO!$AW$4)=TRUE,1,0)</f>
        <v>0</v>
      </c>
      <c r="Q145" s="170"/>
      <c r="R145" s="170">
        <f>IF(AND(Daten!$AC145&lt;='Material+Limits'!$I$58,Daten!$AD145&gt;='Material+Limits'!$I$58)=TRUE,1,0)</f>
        <v>1</v>
      </c>
      <c r="S145" s="29">
        <f ca="1">IF(Daten!$X145=Sprache!$A$125,1,0)</f>
        <v>1</v>
      </c>
      <c r="T145" s="28" t="str">
        <f ca="1">Sprache!$A$55</f>
        <v xml:space="preserve">Podnośnik T-75 </v>
      </c>
      <c r="U145" s="32">
        <v>14</v>
      </c>
      <c r="V145" s="29">
        <v>14</v>
      </c>
      <c r="W145" s="30">
        <f ca="1">Sprache!$A$131</f>
        <v>0</v>
      </c>
      <c r="X145" s="30">
        <f ca="1">Sprache!$A$126</f>
        <v>0</v>
      </c>
      <c r="Y145" s="30" t="str">
        <f ca="1">Sprache!$A$69</f>
        <v>Front</v>
      </c>
      <c r="Z145" s="30">
        <v>600</v>
      </c>
      <c r="AA145" s="28">
        <v>600</v>
      </c>
      <c r="AB145" s="30"/>
      <c r="AC145" s="31">
        <v>5.2</v>
      </c>
      <c r="AD145" s="53">
        <v>7</v>
      </c>
      <c r="AE145" s="30" t="s">
        <v>800</v>
      </c>
      <c r="AF145" s="30" t="str">
        <f ca="1">Sprache!$A$101</f>
        <v>Zestaw (prawy+lewy)</v>
      </c>
      <c r="AG145" s="30" t="s">
        <v>26</v>
      </c>
      <c r="AH145" s="30" t="str">
        <f ca="1">Sprache!$A$115</f>
        <v>Sprężyna standard</v>
      </c>
      <c r="AI145" s="30" t="s">
        <v>26</v>
      </c>
      <c r="AJ145" s="30" t="s">
        <v>26</v>
      </c>
      <c r="AK145" s="30">
        <f>'Material+Limits'!$K$9</f>
        <v>200</v>
      </c>
      <c r="AL145" s="28">
        <v>1200</v>
      </c>
      <c r="AM145" s="30"/>
      <c r="AN145" s="28"/>
    </row>
    <row r="146" spans="1:48" s="4" customFormat="1" x14ac:dyDescent="0.25">
      <c r="A146" t="str">
        <f t="shared" ca="1" si="5"/>
        <v/>
      </c>
      <c r="B146" t="str">
        <f t="shared" ca="1" si="4"/>
        <v/>
      </c>
      <c r="C146" s="79">
        <f>IF('Material+Limits'!$P$9=TRUE,1,0)</f>
        <v>0</v>
      </c>
      <c r="D146" s="39">
        <f>IF(Daten!$O146+Daten!$P146+Daten!$R146=3,1,0)</f>
        <v>0</v>
      </c>
      <c r="E146" s="184">
        <f ca="1">IF(AND('Material+Limits'!$Q$21=TRUE,Daten!N146=1)=TRUE,1,0)</f>
        <v>0</v>
      </c>
      <c r="F146" s="185">
        <f>IF(AND('Material+Limits'!$Q$25=TRUE,Daten!M146=1)=TRUE,1,0)</f>
        <v>0</v>
      </c>
      <c r="G146" s="185">
        <f>IF(AND('Material+Limits'!$Q$24=TRUE,Daten!L146=1)=TRUE,1,0)</f>
        <v>0</v>
      </c>
      <c r="H146" s="185">
        <f>IF(AND('Material+Limits'!$Q$23=TRUE,Daten!K146=1)=TRUE,1,0)</f>
        <v>0</v>
      </c>
      <c r="I146" s="185">
        <f>IF(AND('Material+Limits'!$Q$22=TRUE,Daten!J146=1)=TRUE,1,0)</f>
        <v>0</v>
      </c>
      <c r="J146" s="158">
        <f>IF(Daten!$U146=13,1,0)</f>
        <v>0</v>
      </c>
      <c r="K146" s="159">
        <f>IF(Daten!$U146&lt;&gt;Daten!$V146,1,IF(Daten!$U146=14,1,0))</f>
        <v>0</v>
      </c>
      <c r="L146" s="159">
        <f>IF(Daten!$U146&lt;&gt;Daten!$V146,1,IF(Daten!$U146=16,1,0))</f>
        <v>1</v>
      </c>
      <c r="M146" s="159">
        <f>IF(Daten!$V146=17,1,0)</f>
        <v>0</v>
      </c>
      <c r="N146" s="160">
        <f ca="1">IF(Daten!$W146=Sprache!$A$60,1,0)</f>
        <v>0</v>
      </c>
      <c r="O146" s="171">
        <f>IF(AND(Daten!$AK146&lt;=KINVARO!$AW$3,Daten!$AL146&gt;=KINVARO!$AW$3)=TRUE,1,0)</f>
        <v>1</v>
      </c>
      <c r="P146" s="172">
        <f>IF(AND(Daten!$Z146&lt;=KINVARO!$AW$4,Daten!$AA146&gt;=KINVARO!$AW$4)=TRUE,1,0)</f>
        <v>0</v>
      </c>
      <c r="Q146" s="172"/>
      <c r="R146" s="172">
        <f>IF(AND(Daten!$AC146&lt;='Material+Limits'!$I$58,Daten!$AD146&gt;='Material+Limits'!$I$58)=TRUE,1,0)</f>
        <v>1</v>
      </c>
      <c r="S146" s="23">
        <f ca="1">IF(Daten!$X146=Sprache!$A$125,1,0)</f>
        <v>1</v>
      </c>
      <c r="T146" s="24" t="str">
        <f ca="1">Sprache!$A$55</f>
        <v xml:space="preserve">Podnośnik T-75 </v>
      </c>
      <c r="U146" s="27">
        <v>16</v>
      </c>
      <c r="V146" s="23">
        <v>16</v>
      </c>
      <c r="W146" s="25">
        <f ca="1">Sprache!$A$131</f>
        <v>0</v>
      </c>
      <c r="X146" s="25">
        <f ca="1">Sprache!$A$126</f>
        <v>0</v>
      </c>
      <c r="Y146" s="25" t="str">
        <f ca="1">Sprache!$A$69</f>
        <v>Front</v>
      </c>
      <c r="Z146" s="25">
        <v>600</v>
      </c>
      <c r="AA146" s="24">
        <v>600</v>
      </c>
      <c r="AB146" s="25"/>
      <c r="AC146" s="26">
        <v>5.2</v>
      </c>
      <c r="AD146" s="54">
        <v>7</v>
      </c>
      <c r="AE146" s="25" t="s">
        <v>801</v>
      </c>
      <c r="AF146" s="25" t="str">
        <f ca="1">Sprache!$A$101</f>
        <v>Zestaw (prawy+lewy)</v>
      </c>
      <c r="AG146" s="25" t="s">
        <v>26</v>
      </c>
      <c r="AH146" s="25" t="str">
        <f ca="1">Sprache!$A$115</f>
        <v>Sprężyna standard</v>
      </c>
      <c r="AI146" s="25" t="s">
        <v>26</v>
      </c>
      <c r="AJ146" s="25" t="s">
        <v>26</v>
      </c>
      <c r="AK146" s="25">
        <f>'Material+Limits'!$K$9</f>
        <v>200</v>
      </c>
      <c r="AL146" s="24">
        <v>1200</v>
      </c>
      <c r="AM146" s="30"/>
      <c r="AN146" s="24"/>
    </row>
    <row r="147" spans="1:48" s="9" customFormat="1" ht="15.75" thickBot="1" x14ac:dyDescent="0.3">
      <c r="A147" t="str">
        <f t="shared" ca="1" si="5"/>
        <v/>
      </c>
      <c r="B147" t="str">
        <f t="shared" ca="1" si="4"/>
        <v/>
      </c>
      <c r="C147" s="81">
        <f>IF('Material+Limits'!$P$9=TRUE,1,0)</f>
        <v>0</v>
      </c>
      <c r="D147" s="39">
        <f>IF(Daten!$O147+Daten!$P147+Daten!$R147=3,1,0)</f>
        <v>0</v>
      </c>
      <c r="E147" s="184">
        <f ca="1">IF(AND('Material+Limits'!$Q$21=TRUE,Daten!N147=1)=TRUE,1,0)</f>
        <v>0</v>
      </c>
      <c r="F147" s="185">
        <f>IF(AND('Material+Limits'!$Q$25=TRUE,Daten!M147=1)=TRUE,1,0)</f>
        <v>0</v>
      </c>
      <c r="G147" s="185">
        <f>IF(AND('Material+Limits'!$Q$24=TRUE,Daten!L147=1)=TRUE,1,0)</f>
        <v>0</v>
      </c>
      <c r="H147" s="185">
        <f>IF(AND('Material+Limits'!$Q$23=TRUE,Daten!K147=1)=TRUE,1,0)</f>
        <v>0</v>
      </c>
      <c r="I147" s="185">
        <f>IF(AND('Material+Limits'!$Q$22=TRUE,Daten!J147=1)=TRUE,1,0)</f>
        <v>0</v>
      </c>
      <c r="J147" s="155">
        <f>IF(Daten!$U147=13,1,0)</f>
        <v>0</v>
      </c>
      <c r="K147" s="156">
        <f>IF(Daten!$U147&lt;&gt;Daten!$V147,1,IF(Daten!$U147=14,1,0))</f>
        <v>0</v>
      </c>
      <c r="L147" s="156">
        <f>IF(Daten!$U147&lt;&gt;Daten!$V147,1,IF(Daten!$U147=16,1,0))</f>
        <v>0</v>
      </c>
      <c r="M147" s="156">
        <f>IF(Daten!$V147=17,1,0)</f>
        <v>1</v>
      </c>
      <c r="N147" s="157">
        <f ca="1">IF(Daten!$W147=Sprache!$A$60,1,0)</f>
        <v>0</v>
      </c>
      <c r="O147" s="169">
        <f>IF(AND(Daten!$AK147&lt;=KINVARO!$AW$3,Daten!$AL147&gt;=KINVARO!$AW$3)=TRUE,1,0)</f>
        <v>1</v>
      </c>
      <c r="P147" s="170">
        <f>IF(AND(Daten!$Z147&lt;=KINVARO!$AW$4,Daten!$AA147&gt;=KINVARO!$AW$4)=TRUE,1,0)</f>
        <v>0</v>
      </c>
      <c r="Q147" s="170"/>
      <c r="R147" s="170">
        <f>IF(AND(Daten!$AC147&lt;='Material+Limits'!$I$58,Daten!$AD147&gt;='Material+Limits'!$I$58)=TRUE,1,0)</f>
        <v>1</v>
      </c>
      <c r="S147" s="29">
        <f ca="1">IF(Daten!$X147=Sprache!$A$125,1,0)</f>
        <v>1</v>
      </c>
      <c r="T147" s="28" t="str">
        <f ca="1">Sprache!$A$55</f>
        <v xml:space="preserve">Podnośnik T-75 </v>
      </c>
      <c r="U147" s="32">
        <v>17</v>
      </c>
      <c r="V147" s="29">
        <v>17</v>
      </c>
      <c r="W147" s="30">
        <f ca="1">Sprache!$A$131</f>
        <v>0</v>
      </c>
      <c r="X147" s="30">
        <f ca="1">Sprache!$A$126</f>
        <v>0</v>
      </c>
      <c r="Y147" s="30" t="str">
        <f ca="1">Sprache!$A$69</f>
        <v>Front</v>
      </c>
      <c r="Z147" s="30">
        <v>600</v>
      </c>
      <c r="AA147" s="28">
        <v>600</v>
      </c>
      <c r="AB147" s="30"/>
      <c r="AC147" s="31">
        <v>5.2</v>
      </c>
      <c r="AD147" s="53">
        <v>7</v>
      </c>
      <c r="AE147" s="30" t="s">
        <v>802</v>
      </c>
      <c r="AF147" s="30" t="str">
        <f ca="1">Sprache!$A$101</f>
        <v>Zestaw (prawy+lewy)</v>
      </c>
      <c r="AG147" s="30" t="s">
        <v>26</v>
      </c>
      <c r="AH147" s="30" t="str">
        <f ca="1">Sprache!$A$115</f>
        <v>Sprężyna standard</v>
      </c>
      <c r="AI147" s="30" t="s">
        <v>26</v>
      </c>
      <c r="AJ147" s="30" t="s">
        <v>26</v>
      </c>
      <c r="AK147" s="30">
        <f>'Material+Limits'!$K$9</f>
        <v>200</v>
      </c>
      <c r="AL147" s="28">
        <v>1200</v>
      </c>
      <c r="AM147" s="30"/>
      <c r="AN147" s="28"/>
    </row>
    <row r="148" spans="1:48" ht="15.75" thickTop="1" x14ac:dyDescent="0.25">
      <c r="A148" t="str">
        <f t="shared" ca="1" si="5"/>
        <v/>
      </c>
      <c r="B148" t="str">
        <f t="shared" ca="1" si="4"/>
        <v/>
      </c>
      <c r="C148" s="79">
        <f>IF('Material+Limits'!$P$8=TRUE,1,0)</f>
        <v>0</v>
      </c>
      <c r="D148" s="39">
        <f>IF(Daten!$O148+Daten!$P148+Daten!$R148=3,1,0)</f>
        <v>0</v>
      </c>
      <c r="E148" s="184">
        <f ca="1">IF(AND('Material+Limits'!$Q$21=TRUE,Daten!N148=1)=TRUE,1,0)</f>
        <v>1</v>
      </c>
      <c r="F148" s="185">
        <f ca="1">IF(AND('Material+Limits'!$Q$25=TRUE,Daten!M148=1)=TRUE,1,0)</f>
        <v>0</v>
      </c>
      <c r="G148" s="185">
        <f ca="1">IF(AND('Material+Limits'!$Q$24=TRUE,Daten!L148=1)=TRUE,1,0)</f>
        <v>0</v>
      </c>
      <c r="H148" s="185">
        <f ca="1">IF(AND('Material+Limits'!$Q$23=TRUE,Daten!K148=1)=TRUE,1,0)</f>
        <v>0</v>
      </c>
      <c r="I148" s="185">
        <f ca="1">IF(AND('Material+Limits'!$Q$22=TRUE,Daten!J148=1)=TRUE,1,0)</f>
        <v>0</v>
      </c>
      <c r="J148" s="158">
        <f ca="1">IF(Daten!$U148=13,1,0)</f>
        <v>0</v>
      </c>
      <c r="K148" s="159">
        <f ca="1">IF(Daten!$U148&lt;&gt;Daten!$V148,1,IF(Daten!$U148=14,1,0))</f>
        <v>0</v>
      </c>
      <c r="L148" s="159">
        <f ca="1">IF(Daten!$U148&lt;&gt;Daten!$V148,1,IF(Daten!$U148=16,1,0))</f>
        <v>0</v>
      </c>
      <c r="M148" s="159">
        <f ca="1">IF(Daten!$V148=17,1,0)</f>
        <v>0</v>
      </c>
      <c r="N148" s="160">
        <f ca="1">IF(Daten!$W148=Sprache!$A$60,1,0)</f>
        <v>1</v>
      </c>
      <c r="O148" s="175">
        <f>IF(AND(Daten!$AK148&lt;=KINVARO!$AW$3,Daten!$AL148&gt;=KINVARO!$AW$3)=TRUE,1,0)</f>
        <v>1</v>
      </c>
      <c r="P148" s="175">
        <f>IF(AND(Daten!$Z148&lt;=KINVARO!$AW$4,Daten!$AA148&gt;=KINVARO!$AW$4)=TRUE,1,0)</f>
        <v>0</v>
      </c>
      <c r="Q148" s="175"/>
      <c r="R148" s="175">
        <f>IF(AND(Daten!$AC148&lt;='Material+Limits'!$I$58,Daten!$AD148&gt;='Material+Limits'!$I$58)=TRUE,1,0)</f>
        <v>1</v>
      </c>
      <c r="S148" s="60">
        <f ca="1">IF(Daten!$X148=Sprache!$A$125,1,0)</f>
        <v>1</v>
      </c>
      <c r="T148" s="62" t="str">
        <f ca="1">Sprache!$A$56</f>
        <v>Podnośnik T-71</v>
      </c>
      <c r="U148" s="60">
        <f ca="1">Sprache!$A$64</f>
        <v>0</v>
      </c>
      <c r="V148" s="61">
        <f ca="1">Sprache!$A$64</f>
        <v>0</v>
      </c>
      <c r="W148" s="62" t="str">
        <f ca="1">Sprache!$A$60</f>
        <v>Front lity (drewno/płyta)</v>
      </c>
      <c r="X148" s="56">
        <f ca="1">Sprache!$A$125</f>
        <v>0</v>
      </c>
      <c r="Y148" s="62" t="str">
        <f ca="1">Sprache!$A$69</f>
        <v>Front</v>
      </c>
      <c r="Z148" s="62">
        <v>300</v>
      </c>
      <c r="AA148" s="63">
        <v>349</v>
      </c>
      <c r="AB148" s="62"/>
      <c r="AC148" s="64">
        <v>2.1</v>
      </c>
      <c r="AD148" s="65">
        <v>7.4</v>
      </c>
      <c r="AE148" s="62" t="s">
        <v>803</v>
      </c>
      <c r="AF148" s="62" t="str">
        <f ca="1">Sprache!$A$101</f>
        <v>Zestaw (prawy+lewy)</v>
      </c>
      <c r="AG148" s="62" t="s">
        <v>26</v>
      </c>
      <c r="AH148" s="62" t="str">
        <f ca="1">Sprache!$A$117</f>
        <v>Sprężyna biała</v>
      </c>
      <c r="AI148" s="25" t="s">
        <v>26</v>
      </c>
      <c r="AJ148" s="25" t="s">
        <v>26</v>
      </c>
      <c r="AK148" s="62">
        <f>'Material+Limits'!$K$9</f>
        <v>200</v>
      </c>
      <c r="AL148" s="63">
        <v>1200</v>
      </c>
      <c r="AM148" s="30"/>
      <c r="AN148" s="24"/>
      <c r="AO148"/>
      <c r="AR148"/>
      <c r="AS148"/>
      <c r="AT148"/>
      <c r="AU148"/>
      <c r="AV148"/>
    </row>
    <row r="149" spans="1:48" x14ac:dyDescent="0.25">
      <c r="A149" t="str">
        <f t="shared" ca="1" si="5"/>
        <v/>
      </c>
      <c r="B149" t="str">
        <f t="shared" ca="1" si="4"/>
        <v/>
      </c>
      <c r="C149" s="79">
        <f>IF('Material+Limits'!$P$8=TRUE,1,0)</f>
        <v>0</v>
      </c>
      <c r="D149" s="39">
        <f>IF(Daten!$O149+Daten!$P149+Daten!$R149=3,1,0)</f>
        <v>0</v>
      </c>
      <c r="E149" s="184">
        <f ca="1">IF(AND('Material+Limits'!$Q$21=TRUE,Daten!N149=1)=TRUE,1,0)</f>
        <v>1</v>
      </c>
      <c r="F149" s="185">
        <f ca="1">IF(AND('Material+Limits'!$Q$25=TRUE,Daten!M149=1)=TRUE,1,0)</f>
        <v>0</v>
      </c>
      <c r="G149" s="185">
        <f ca="1">IF(AND('Material+Limits'!$Q$24=TRUE,Daten!L149=1)=TRUE,1,0)</f>
        <v>0</v>
      </c>
      <c r="H149" s="185">
        <f ca="1">IF(AND('Material+Limits'!$Q$23=TRUE,Daten!K149=1)=TRUE,1,0)</f>
        <v>0</v>
      </c>
      <c r="I149" s="185">
        <f ca="1">IF(AND('Material+Limits'!$Q$22=TRUE,Daten!J149=1)=TRUE,1,0)</f>
        <v>0</v>
      </c>
      <c r="J149" s="155">
        <f ca="1">IF(Daten!$U149=13,1,0)</f>
        <v>0</v>
      </c>
      <c r="K149" s="156">
        <f ca="1">IF(Daten!$U149&lt;&gt;Daten!$V149,1,IF(Daten!$U149=14,1,0))</f>
        <v>0</v>
      </c>
      <c r="L149" s="156">
        <f ca="1">IF(Daten!$U149&lt;&gt;Daten!$V149,1,IF(Daten!$U149=16,1,0))</f>
        <v>0</v>
      </c>
      <c r="M149" s="156">
        <f ca="1">IF(Daten!$V149=17,1,0)</f>
        <v>0</v>
      </c>
      <c r="N149" s="157">
        <f ca="1">IF(Daten!$W149=Sprache!$A$60,1,0)</f>
        <v>1</v>
      </c>
      <c r="O149" s="169">
        <f>IF(AND(Daten!$AK149&lt;=KINVARO!$AW$3,Daten!$AL149&gt;=KINVARO!$AW$3)=TRUE,1,0)</f>
        <v>1</v>
      </c>
      <c r="P149" s="169">
        <f>IF(AND(Daten!$Z149&lt;=KINVARO!$AW$4,Daten!$AA149&gt;=KINVARO!$AW$4)=TRUE,1,0)</f>
        <v>0</v>
      </c>
      <c r="Q149" s="169"/>
      <c r="R149" s="169">
        <f>IF(AND(Daten!$AC149&lt;='Material+Limits'!$I$58,Daten!$AD149&gt;='Material+Limits'!$I$58)=TRUE,1,0)</f>
        <v>1</v>
      </c>
      <c r="S149" s="32">
        <f ca="1">IF(Daten!$X149=Sprache!$A$125,1,0)</f>
        <v>1</v>
      </c>
      <c r="T149" s="30" t="str">
        <f ca="1">Sprache!$A$56</f>
        <v>Podnośnik T-71</v>
      </c>
      <c r="U149" s="32">
        <f ca="1">Sprache!$A$64</f>
        <v>0</v>
      </c>
      <c r="V149" s="29">
        <f ca="1">Sprache!$A$64</f>
        <v>0</v>
      </c>
      <c r="W149" s="30" t="str">
        <f ca="1">Sprache!$A$60</f>
        <v>Front lity (drewno/płyta)</v>
      </c>
      <c r="X149" s="30">
        <f ca="1">Sprache!$A$125</f>
        <v>0</v>
      </c>
      <c r="Y149" s="30" t="str">
        <f ca="1">Sprache!$A$69</f>
        <v>Front</v>
      </c>
      <c r="Z149" s="30">
        <v>300</v>
      </c>
      <c r="AA149" s="28">
        <v>349</v>
      </c>
      <c r="AB149" s="30"/>
      <c r="AC149" s="31">
        <v>2.5</v>
      </c>
      <c r="AD149" s="53">
        <v>8.5</v>
      </c>
      <c r="AE149" s="30" t="s">
        <v>803</v>
      </c>
      <c r="AF149" s="30" t="str">
        <f ca="1">Sprache!$A$101</f>
        <v>Zestaw (prawy+lewy)</v>
      </c>
      <c r="AG149" s="30" t="s">
        <v>26</v>
      </c>
      <c r="AH149" s="30" t="str">
        <f ca="1">Sprache!$A$118</f>
        <v>Sprężyna pomarańczowa</v>
      </c>
      <c r="AI149" s="30" t="s">
        <v>26</v>
      </c>
      <c r="AJ149" s="30" t="s">
        <v>26</v>
      </c>
      <c r="AK149" s="30">
        <f>'Material+Limits'!$K$9</f>
        <v>200</v>
      </c>
      <c r="AL149" s="28">
        <v>1200</v>
      </c>
      <c r="AM149" s="30"/>
      <c r="AN149" s="28"/>
      <c r="AO149"/>
      <c r="AR149"/>
      <c r="AS149"/>
      <c r="AT149"/>
      <c r="AU149"/>
      <c r="AV149"/>
    </row>
    <row r="150" spans="1:48" x14ac:dyDescent="0.25">
      <c r="A150" t="str">
        <f t="shared" ca="1" si="5"/>
        <v/>
      </c>
      <c r="B150" t="str">
        <f t="shared" ca="1" si="4"/>
        <v/>
      </c>
      <c r="C150" s="79">
        <f>IF('Material+Limits'!$P$8=TRUE,1,0)</f>
        <v>0</v>
      </c>
      <c r="D150" s="39">
        <f>IF(Daten!$O150+Daten!$P150+Daten!$R150=3,1,0)</f>
        <v>0</v>
      </c>
      <c r="E150" s="184">
        <f ca="1">IF(AND('Material+Limits'!$Q$21=TRUE,Daten!N150=1)=TRUE,1,0)</f>
        <v>0</v>
      </c>
      <c r="F150" s="185">
        <f>IF(AND('Material+Limits'!$Q$25=TRUE,Daten!M150=1)=TRUE,1,0)</f>
        <v>0</v>
      </c>
      <c r="G150" s="185">
        <f>IF(AND('Material+Limits'!$Q$24=TRUE,Daten!L150=1)=TRUE,1,0)</f>
        <v>0</v>
      </c>
      <c r="H150" s="185">
        <f>IF(AND('Material+Limits'!$Q$23=TRUE,Daten!K150=1)=TRUE,1,0)</f>
        <v>0</v>
      </c>
      <c r="I150" s="185">
        <f>IF(AND('Material+Limits'!$Q$22=TRUE,Daten!J150=1)=TRUE,1,0)</f>
        <v>0</v>
      </c>
      <c r="J150" s="158">
        <f>IF(Daten!$U150=13,1,0)</f>
        <v>1</v>
      </c>
      <c r="K150" s="159">
        <f>IF(Daten!$U150&lt;&gt;Daten!$V150,1,IF(Daten!$U150=14,1,0))</f>
        <v>1</v>
      </c>
      <c r="L150" s="159">
        <f>IF(Daten!$U150&lt;&gt;Daten!$V150,1,IF(Daten!$U150=16,1,0))</f>
        <v>1</v>
      </c>
      <c r="M150" s="159">
        <f>IF(Daten!$V150=17,1,0)</f>
        <v>1</v>
      </c>
      <c r="N150" s="160">
        <f ca="1">IF(Daten!$W150=Sprache!$A$60,1,0)</f>
        <v>0</v>
      </c>
      <c r="O150" s="171">
        <f>IF(AND(Daten!$AK150&lt;=KINVARO!$AW$3,Daten!$AL150&gt;=KINVARO!$AW$3)=TRUE,1,0)</f>
        <v>1</v>
      </c>
      <c r="P150" s="171">
        <f>IF(AND(Daten!$Z150&lt;=KINVARO!$AW$4,Daten!$AA150&gt;=KINVARO!$AW$4)=TRUE,1,0)</f>
        <v>0</v>
      </c>
      <c r="Q150" s="171"/>
      <c r="R150" s="171">
        <f>IF(AND(Daten!$AC150&lt;='Material+Limits'!$I$58,Daten!$AD150&gt;='Material+Limits'!$I$58)=TRUE,1,0)</f>
        <v>1</v>
      </c>
      <c r="S150" s="27">
        <f ca="1">IF(Daten!$X150=Sprache!$A$125,1,0)</f>
        <v>1</v>
      </c>
      <c r="T150" s="25" t="str">
        <f ca="1">Sprache!$A$56</f>
        <v>Podnośnik T-71</v>
      </c>
      <c r="U150" s="27">
        <v>13</v>
      </c>
      <c r="V150" s="23">
        <v>17</v>
      </c>
      <c r="W150" s="25">
        <f ca="1">Sprache!$A$132</f>
        <v>0</v>
      </c>
      <c r="X150" s="25">
        <f ca="1">Sprache!$A$125</f>
        <v>0</v>
      </c>
      <c r="Y150" s="25" t="str">
        <f ca="1">Sprache!$A$69</f>
        <v>Front</v>
      </c>
      <c r="Z150" s="25">
        <v>300</v>
      </c>
      <c r="AA150" s="24">
        <v>349</v>
      </c>
      <c r="AB150" s="25"/>
      <c r="AC150" s="26">
        <v>2.1</v>
      </c>
      <c r="AD150" s="54">
        <v>7.4</v>
      </c>
      <c r="AE150" s="25" t="s">
        <v>803</v>
      </c>
      <c r="AF150" s="25" t="str">
        <f ca="1">Sprache!$A$101</f>
        <v>Zestaw (prawy+lewy)</v>
      </c>
      <c r="AG150" s="25" t="s">
        <v>26</v>
      </c>
      <c r="AH150" s="25" t="str">
        <f ca="1">Sprache!$A$117</f>
        <v>Sprężyna biała</v>
      </c>
      <c r="AI150" s="25" t="str">
        <f ca="1">Sprache!$A$136</f>
        <v>Adapter do ram aluminiowych, do Kinvaro T-71 zest.</v>
      </c>
      <c r="AJ150" s="25" t="s">
        <v>825</v>
      </c>
      <c r="AK150" s="25">
        <f>'Material+Limits'!$K$9</f>
        <v>200</v>
      </c>
      <c r="AL150" s="24">
        <v>1200</v>
      </c>
      <c r="AM150" s="30"/>
      <c r="AN150" s="24"/>
      <c r="AO150"/>
      <c r="AR150"/>
      <c r="AS150"/>
      <c r="AT150"/>
      <c r="AU150"/>
      <c r="AV150"/>
    </row>
    <row r="151" spans="1:48" s="5" customFormat="1" x14ac:dyDescent="0.25">
      <c r="A151" t="str">
        <f t="shared" ca="1" si="5"/>
        <v/>
      </c>
      <c r="B151" t="str">
        <f t="shared" ca="1" si="4"/>
        <v/>
      </c>
      <c r="C151" s="79">
        <f>IF('Material+Limits'!$P$8=TRUE,1,0)</f>
        <v>0</v>
      </c>
      <c r="D151" s="39">
        <f>IF(Daten!$O151+Daten!$P151+Daten!$R151=3,1,0)</f>
        <v>0</v>
      </c>
      <c r="E151" s="184">
        <f ca="1">IF(AND('Material+Limits'!$Q$21=TRUE,Daten!N151=1)=TRUE,1,0)</f>
        <v>0</v>
      </c>
      <c r="F151" s="185">
        <f>IF(AND('Material+Limits'!$Q$25=TRUE,Daten!M151=1)=TRUE,1,0)</f>
        <v>0</v>
      </c>
      <c r="G151" s="185">
        <f>IF(AND('Material+Limits'!$Q$24=TRUE,Daten!L151=1)=TRUE,1,0)</f>
        <v>0</v>
      </c>
      <c r="H151" s="185">
        <f>IF(AND('Material+Limits'!$Q$23=TRUE,Daten!K151=1)=TRUE,1,0)</f>
        <v>0</v>
      </c>
      <c r="I151" s="185">
        <f>IF(AND('Material+Limits'!$Q$22=TRUE,Daten!J151=1)=TRUE,1,0)</f>
        <v>0</v>
      </c>
      <c r="J151" s="155">
        <f>IF(Daten!$U151=13,1,0)</f>
        <v>1</v>
      </c>
      <c r="K151" s="156">
        <f>IF(Daten!$U151&lt;&gt;Daten!$V151,1,IF(Daten!$U151=14,1,0))</f>
        <v>1</v>
      </c>
      <c r="L151" s="156">
        <f>IF(Daten!$U151&lt;&gt;Daten!$V151,1,IF(Daten!$U151=16,1,0))</f>
        <v>1</v>
      </c>
      <c r="M151" s="156">
        <f>IF(Daten!$V151=17,1,0)</f>
        <v>1</v>
      </c>
      <c r="N151" s="157">
        <f ca="1">IF(Daten!$W151=Sprache!$A$60,1,0)</f>
        <v>0</v>
      </c>
      <c r="O151" s="169">
        <f>IF(AND(Daten!$AK151&lt;=KINVARO!$AW$3,Daten!$AL151&gt;=KINVARO!$AW$3)=TRUE,1,0)</f>
        <v>1</v>
      </c>
      <c r="P151" s="169">
        <f>IF(AND(Daten!$Z151&lt;=KINVARO!$AW$4,Daten!$AA151&gt;=KINVARO!$AW$4)=TRUE,1,0)</f>
        <v>0</v>
      </c>
      <c r="Q151" s="169"/>
      <c r="R151" s="169">
        <f>IF(AND(Daten!$AC151&lt;='Material+Limits'!$I$58,Daten!$AD151&gt;='Material+Limits'!$I$58)=TRUE,1,0)</f>
        <v>1</v>
      </c>
      <c r="S151" s="32">
        <f ca="1">IF(Daten!$X151=Sprache!$A$125,1,0)</f>
        <v>1</v>
      </c>
      <c r="T151" s="30" t="str">
        <f ca="1">Sprache!$A$56</f>
        <v>Podnośnik T-71</v>
      </c>
      <c r="U151" s="32">
        <v>13</v>
      </c>
      <c r="V151" s="29">
        <v>17</v>
      </c>
      <c r="W151" s="30">
        <f ca="1">Sprache!$A$132</f>
        <v>0</v>
      </c>
      <c r="X151" s="30">
        <f ca="1">Sprache!$A$125</f>
        <v>0</v>
      </c>
      <c r="Y151" s="30" t="str">
        <f ca="1">Sprache!$A$69</f>
        <v>Front</v>
      </c>
      <c r="Z151" s="30">
        <v>300</v>
      </c>
      <c r="AA151" s="28">
        <v>349</v>
      </c>
      <c r="AB151" s="30"/>
      <c r="AC151" s="31">
        <v>2.5</v>
      </c>
      <c r="AD151" s="53">
        <v>8.5</v>
      </c>
      <c r="AE151" s="30" t="s">
        <v>803</v>
      </c>
      <c r="AF151" s="30" t="str">
        <f ca="1">Sprache!$A$101</f>
        <v>Zestaw (prawy+lewy)</v>
      </c>
      <c r="AG151" s="30" t="s">
        <v>26</v>
      </c>
      <c r="AH151" s="30" t="str">
        <f ca="1">Sprache!$A$118</f>
        <v>Sprężyna pomarańczowa</v>
      </c>
      <c r="AI151" s="30" t="str">
        <f ca="1">Sprache!$A$136</f>
        <v>Adapter do ram aluminiowych, do Kinvaro T-71 zest.</v>
      </c>
      <c r="AJ151" s="243" t="s">
        <v>826</v>
      </c>
      <c r="AK151" s="30">
        <f>'Material+Limits'!$K$9</f>
        <v>200</v>
      </c>
      <c r="AL151" s="28">
        <v>1200</v>
      </c>
      <c r="AM151" s="30"/>
      <c r="AN151" s="28"/>
    </row>
    <row r="152" spans="1:48" x14ac:dyDescent="0.25">
      <c r="A152" t="str">
        <f t="shared" ca="1" si="5"/>
        <v/>
      </c>
      <c r="B152" t="str">
        <f t="shared" ca="1" si="4"/>
        <v/>
      </c>
      <c r="C152" s="79">
        <f>IF('Material+Limits'!$P$8=TRUE,1,0)</f>
        <v>0</v>
      </c>
      <c r="D152" s="39">
        <f>IF(Daten!$O152+Daten!$P152+Daten!$R152=3,1,0)</f>
        <v>0</v>
      </c>
      <c r="E152" s="184">
        <f ca="1">IF(AND('Material+Limits'!$Q$21=TRUE,Daten!N152=1)=TRUE,1,0)</f>
        <v>1</v>
      </c>
      <c r="F152" s="185">
        <f ca="1">IF(AND('Material+Limits'!$Q$25=TRUE,Daten!M152=1)=TRUE,1,0)</f>
        <v>0</v>
      </c>
      <c r="G152" s="185">
        <f ca="1">IF(AND('Material+Limits'!$Q$24=TRUE,Daten!L152=1)=TRUE,1,0)</f>
        <v>0</v>
      </c>
      <c r="H152" s="185">
        <f ca="1">IF(AND('Material+Limits'!$Q$23=TRUE,Daten!K152=1)=TRUE,1,0)</f>
        <v>0</v>
      </c>
      <c r="I152" s="185">
        <f ca="1">IF(AND('Material+Limits'!$Q$22=TRUE,Daten!J152=1)=TRUE,1,0)</f>
        <v>0</v>
      </c>
      <c r="J152" s="158">
        <f ca="1">IF(Daten!$U152=13,1,0)</f>
        <v>0</v>
      </c>
      <c r="K152" s="159">
        <f ca="1">IF(Daten!$U152&lt;&gt;Daten!$V152,1,IF(Daten!$U152=14,1,0))</f>
        <v>0</v>
      </c>
      <c r="L152" s="159">
        <f ca="1">IF(Daten!$U152&lt;&gt;Daten!$V152,1,IF(Daten!$U152=16,1,0))</f>
        <v>0</v>
      </c>
      <c r="M152" s="159">
        <f ca="1">IF(Daten!$V152=17,1,0)</f>
        <v>0</v>
      </c>
      <c r="N152" s="160">
        <f ca="1">IF(Daten!$W152=Sprache!$A$60,1,0)</f>
        <v>1</v>
      </c>
      <c r="O152" s="173">
        <f>IF(AND(Daten!$AK152&lt;=KINVARO!$AW$3,Daten!$AL152&gt;=KINVARO!$AW$3)=TRUE,1,0)</f>
        <v>1</v>
      </c>
      <c r="P152" s="173">
        <f>IF(AND(Daten!$Z152&lt;=KINVARO!$AW$4,Daten!$AA152&gt;=KINVARO!$AW$4)=TRUE,1,0)</f>
        <v>0</v>
      </c>
      <c r="Q152" s="173"/>
      <c r="R152" s="173">
        <f>IF(AND(Daten!$AC152&lt;='Material+Limits'!$I$58,Daten!$AD152&gt;='Material+Limits'!$I$58)=TRUE,1,0)</f>
        <v>1</v>
      </c>
      <c r="S152" s="55">
        <f ca="1">IF(Daten!$X152=Sprache!$A$125,1,0)</f>
        <v>1</v>
      </c>
      <c r="T152" s="56" t="str">
        <f ca="1">Sprache!$A$56</f>
        <v>Podnośnik T-71</v>
      </c>
      <c r="U152" s="55">
        <f ca="1">Sprache!$A$64</f>
        <v>0</v>
      </c>
      <c r="V152" s="38">
        <f ca="1">Sprache!$A$64</f>
        <v>0</v>
      </c>
      <c r="W152" s="56" t="str">
        <f ca="1">Sprache!$A$60</f>
        <v>Front lity (drewno/płyta)</v>
      </c>
      <c r="X152" s="56">
        <f ca="1">Sprache!$A$125</f>
        <v>0</v>
      </c>
      <c r="Y152" s="56" t="str">
        <f ca="1">Sprache!$A$69</f>
        <v>Front</v>
      </c>
      <c r="Z152" s="56">
        <v>350</v>
      </c>
      <c r="AA152" s="57">
        <v>399</v>
      </c>
      <c r="AB152" s="56"/>
      <c r="AC152" s="58">
        <v>1.8</v>
      </c>
      <c r="AD152" s="59">
        <v>6.3</v>
      </c>
      <c r="AE152" s="56" t="s">
        <v>803</v>
      </c>
      <c r="AF152" s="56" t="str">
        <f ca="1">Sprache!$A$101</f>
        <v>Zestaw (prawy+lewy)</v>
      </c>
      <c r="AG152" s="56" t="s">
        <v>26</v>
      </c>
      <c r="AH152" s="56" t="str">
        <f ca="1">Sprache!$A$117</f>
        <v>Sprężyna biała</v>
      </c>
      <c r="AI152" s="56" t="s">
        <v>26</v>
      </c>
      <c r="AJ152" s="56" t="s">
        <v>26</v>
      </c>
      <c r="AK152" s="56">
        <f>'Material+Limits'!$K$9</f>
        <v>200</v>
      </c>
      <c r="AL152" s="57">
        <v>1200</v>
      </c>
      <c r="AM152" s="30"/>
      <c r="AN152" s="24"/>
      <c r="AO152"/>
      <c r="AR152"/>
      <c r="AS152"/>
      <c r="AT152"/>
      <c r="AU152"/>
      <c r="AV152"/>
    </row>
    <row r="153" spans="1:48" x14ac:dyDescent="0.25">
      <c r="A153" t="str">
        <f t="shared" ca="1" si="5"/>
        <v/>
      </c>
      <c r="B153" t="str">
        <f t="shared" ca="1" si="4"/>
        <v/>
      </c>
      <c r="C153" s="79">
        <f>IF('Material+Limits'!$P$8=TRUE,1,0)</f>
        <v>0</v>
      </c>
      <c r="D153" s="39">
        <f>IF(Daten!$O153+Daten!$P153+Daten!$R153=3,1,0)</f>
        <v>0</v>
      </c>
      <c r="E153" s="184">
        <f ca="1">IF(AND('Material+Limits'!$Q$21=TRUE,Daten!N153=1)=TRUE,1,0)</f>
        <v>1</v>
      </c>
      <c r="F153" s="185">
        <f ca="1">IF(AND('Material+Limits'!$Q$25=TRUE,Daten!M153=1)=TRUE,1,0)</f>
        <v>0</v>
      </c>
      <c r="G153" s="185">
        <f ca="1">IF(AND('Material+Limits'!$Q$24=TRUE,Daten!L153=1)=TRUE,1,0)</f>
        <v>0</v>
      </c>
      <c r="H153" s="185">
        <f ca="1">IF(AND('Material+Limits'!$Q$23=TRUE,Daten!K153=1)=TRUE,1,0)</f>
        <v>0</v>
      </c>
      <c r="I153" s="185">
        <f ca="1">IF(AND('Material+Limits'!$Q$22=TRUE,Daten!J153=1)=TRUE,1,0)</f>
        <v>0</v>
      </c>
      <c r="J153" s="155">
        <f ca="1">IF(Daten!$U153=13,1,0)</f>
        <v>0</v>
      </c>
      <c r="K153" s="156">
        <f ca="1">IF(Daten!$U153&lt;&gt;Daten!$V153,1,IF(Daten!$U153=14,1,0))</f>
        <v>0</v>
      </c>
      <c r="L153" s="156">
        <f ca="1">IF(Daten!$U153&lt;&gt;Daten!$V153,1,IF(Daten!$U153=16,1,0))</f>
        <v>0</v>
      </c>
      <c r="M153" s="156">
        <f ca="1">IF(Daten!$V153=17,1,0)</f>
        <v>0</v>
      </c>
      <c r="N153" s="157">
        <f ca="1">IF(Daten!$W153=Sprache!$A$60,1,0)</f>
        <v>1</v>
      </c>
      <c r="O153" s="169">
        <f>IF(AND(Daten!$AK153&lt;=KINVARO!$AW$3,Daten!$AL153&gt;=KINVARO!$AW$3)=TRUE,1,0)</f>
        <v>1</v>
      </c>
      <c r="P153" s="169">
        <f>IF(AND(Daten!$Z153&lt;=KINVARO!$AW$4,Daten!$AA153&gt;=KINVARO!$AW$4)=TRUE,1,0)</f>
        <v>0</v>
      </c>
      <c r="Q153" s="169"/>
      <c r="R153" s="169">
        <f>IF(AND(Daten!$AC153&lt;='Material+Limits'!$I$58,Daten!$AD153&gt;='Material+Limits'!$I$58)=TRUE,1,0)</f>
        <v>1</v>
      </c>
      <c r="S153" s="32">
        <f ca="1">IF(Daten!$X153=Sprache!$A$125,1,0)</f>
        <v>1</v>
      </c>
      <c r="T153" s="30" t="str">
        <f ca="1">Sprache!$A$56</f>
        <v>Podnośnik T-71</v>
      </c>
      <c r="U153" s="32">
        <f ca="1">Sprache!$A$64</f>
        <v>0</v>
      </c>
      <c r="V153" s="29">
        <f ca="1">Sprache!$A$64</f>
        <v>0</v>
      </c>
      <c r="W153" s="30" t="str">
        <f ca="1">Sprache!$A$60</f>
        <v>Front lity (drewno/płyta)</v>
      </c>
      <c r="X153" s="30">
        <f ca="1">Sprache!$A$125</f>
        <v>0</v>
      </c>
      <c r="Y153" s="30" t="str">
        <f ca="1">Sprache!$A$69</f>
        <v>Front</v>
      </c>
      <c r="Z153" s="30">
        <v>350</v>
      </c>
      <c r="AA153" s="28">
        <v>399</v>
      </c>
      <c r="AB153" s="30"/>
      <c r="AC153" s="31">
        <v>2.2999999999999998</v>
      </c>
      <c r="AD153" s="53">
        <v>7.5</v>
      </c>
      <c r="AE153" s="30" t="s">
        <v>803</v>
      </c>
      <c r="AF153" s="30" t="str">
        <f ca="1">Sprache!$A$101</f>
        <v>Zestaw (prawy+lewy)</v>
      </c>
      <c r="AG153" s="30" t="s">
        <v>26</v>
      </c>
      <c r="AH153" s="30" t="str">
        <f ca="1">Sprache!$A$118</f>
        <v>Sprężyna pomarańczowa</v>
      </c>
      <c r="AI153" s="30" t="s">
        <v>26</v>
      </c>
      <c r="AJ153" s="30" t="s">
        <v>26</v>
      </c>
      <c r="AK153" s="30">
        <f>'Material+Limits'!$K$9</f>
        <v>200</v>
      </c>
      <c r="AL153" s="28">
        <v>1200</v>
      </c>
      <c r="AM153" s="30"/>
      <c r="AN153" s="28"/>
      <c r="AO153"/>
      <c r="AR153"/>
      <c r="AS153"/>
      <c r="AT153"/>
      <c r="AU153"/>
      <c r="AV153"/>
    </row>
    <row r="154" spans="1:48" x14ac:dyDescent="0.25">
      <c r="A154" t="str">
        <f t="shared" ca="1" si="5"/>
        <v/>
      </c>
      <c r="B154" t="str">
        <f t="shared" ca="1" si="4"/>
        <v/>
      </c>
      <c r="C154" s="79">
        <f>IF('Material+Limits'!$P$8=TRUE,1,0)</f>
        <v>0</v>
      </c>
      <c r="D154" s="39">
        <f>IF(Daten!$O154+Daten!$P154+Daten!$R154=3,1,0)</f>
        <v>0</v>
      </c>
      <c r="E154" s="184">
        <f ca="1">IF(AND('Material+Limits'!$Q$21=TRUE,Daten!N154=1)=TRUE,1,0)</f>
        <v>0</v>
      </c>
      <c r="F154" s="185">
        <f>IF(AND('Material+Limits'!$Q$25=TRUE,Daten!M154=1)=TRUE,1,0)</f>
        <v>0</v>
      </c>
      <c r="G154" s="185">
        <f>IF(AND('Material+Limits'!$Q$24=TRUE,Daten!L154=1)=TRUE,1,0)</f>
        <v>0</v>
      </c>
      <c r="H154" s="185">
        <f>IF(AND('Material+Limits'!$Q$23=TRUE,Daten!K154=1)=TRUE,1,0)</f>
        <v>0</v>
      </c>
      <c r="I154" s="185">
        <f>IF(AND('Material+Limits'!$Q$22=TRUE,Daten!J154=1)=TRUE,1,0)</f>
        <v>0</v>
      </c>
      <c r="J154" s="158">
        <f>IF(Daten!$U154=13,1,0)</f>
        <v>1</v>
      </c>
      <c r="K154" s="159">
        <f>IF(Daten!$U154&lt;&gt;Daten!$V154,1,IF(Daten!$U154=14,1,0))</f>
        <v>1</v>
      </c>
      <c r="L154" s="159">
        <f>IF(Daten!$U154&lt;&gt;Daten!$V154,1,IF(Daten!$U154=16,1,0))</f>
        <v>1</v>
      </c>
      <c r="M154" s="159">
        <f>IF(Daten!$V154=17,1,0)</f>
        <v>1</v>
      </c>
      <c r="N154" s="160">
        <f ca="1">IF(Daten!$W154=Sprache!$A$60,1,0)</f>
        <v>0</v>
      </c>
      <c r="O154" s="171">
        <f>IF(AND(Daten!$AK154&lt;=KINVARO!$AW$3,Daten!$AL154&gt;=KINVARO!$AW$3)=TRUE,1,0)</f>
        <v>1</v>
      </c>
      <c r="P154" s="171">
        <f>IF(AND(Daten!$Z154&lt;=KINVARO!$AW$4,Daten!$AA154&gt;=KINVARO!$AW$4)=TRUE,1,0)</f>
        <v>0</v>
      </c>
      <c r="Q154" s="171"/>
      <c r="R154" s="171">
        <f>IF(AND(Daten!$AC154&lt;='Material+Limits'!$I$58,Daten!$AD154&gt;='Material+Limits'!$I$58)=TRUE,1,0)</f>
        <v>1</v>
      </c>
      <c r="S154" s="27">
        <f ca="1">IF(Daten!$X154=Sprache!$A$125,1,0)</f>
        <v>1</v>
      </c>
      <c r="T154" s="25" t="str">
        <f ca="1">Sprache!$A$56</f>
        <v>Podnośnik T-71</v>
      </c>
      <c r="U154" s="27">
        <v>13</v>
      </c>
      <c r="V154" s="23">
        <v>17</v>
      </c>
      <c r="W154" s="25">
        <f ca="1">Sprache!$A$132</f>
        <v>0</v>
      </c>
      <c r="X154" s="25">
        <f ca="1">Sprache!$A$125</f>
        <v>0</v>
      </c>
      <c r="Y154" s="25" t="str">
        <f ca="1">Sprache!$A$69</f>
        <v>Front</v>
      </c>
      <c r="Z154" s="25">
        <v>350</v>
      </c>
      <c r="AA154" s="24">
        <v>399</v>
      </c>
      <c r="AB154" s="25"/>
      <c r="AC154" s="26">
        <v>1.8</v>
      </c>
      <c r="AD154" s="54">
        <v>6.3</v>
      </c>
      <c r="AE154" s="25" t="s">
        <v>803</v>
      </c>
      <c r="AF154" s="25" t="str">
        <f ca="1">Sprache!$A$101</f>
        <v>Zestaw (prawy+lewy)</v>
      </c>
      <c r="AG154" s="25" t="s">
        <v>26</v>
      </c>
      <c r="AH154" s="25" t="str">
        <f ca="1">Sprache!$A$117</f>
        <v>Sprężyna biała</v>
      </c>
      <c r="AI154" s="25" t="str">
        <f ca="1">Sprache!$A$136</f>
        <v>Adapter do ram aluminiowych, do Kinvaro T-71 zest.</v>
      </c>
      <c r="AJ154" s="242" t="s">
        <v>826</v>
      </c>
      <c r="AK154" s="25">
        <f>'Material+Limits'!$K$9</f>
        <v>200</v>
      </c>
      <c r="AL154" s="24">
        <v>1200</v>
      </c>
      <c r="AM154" s="30"/>
      <c r="AN154" s="24"/>
      <c r="AO154"/>
      <c r="AR154"/>
      <c r="AS154"/>
      <c r="AT154"/>
      <c r="AU154"/>
      <c r="AV154"/>
    </row>
    <row r="155" spans="1:48" s="5" customFormat="1" x14ac:dyDescent="0.25">
      <c r="A155" t="str">
        <f t="shared" ca="1" si="5"/>
        <v/>
      </c>
      <c r="B155" t="str">
        <f t="shared" ca="1" si="4"/>
        <v/>
      </c>
      <c r="C155" s="79">
        <f>IF('Material+Limits'!$P$8=TRUE,1,0)</f>
        <v>0</v>
      </c>
      <c r="D155" s="39">
        <f>IF(Daten!$O155+Daten!$P155+Daten!$R155=3,1,0)</f>
        <v>0</v>
      </c>
      <c r="E155" s="184">
        <f ca="1">IF(AND('Material+Limits'!$Q$21=TRUE,Daten!N155=1)=TRUE,1,0)</f>
        <v>0</v>
      </c>
      <c r="F155" s="185">
        <f>IF(AND('Material+Limits'!$Q$25=TRUE,Daten!M155=1)=TRUE,1,0)</f>
        <v>0</v>
      </c>
      <c r="G155" s="185">
        <f>IF(AND('Material+Limits'!$Q$24=TRUE,Daten!L155=1)=TRUE,1,0)</f>
        <v>0</v>
      </c>
      <c r="H155" s="185">
        <f>IF(AND('Material+Limits'!$Q$23=TRUE,Daten!K155=1)=TRUE,1,0)</f>
        <v>0</v>
      </c>
      <c r="I155" s="185">
        <f>IF(AND('Material+Limits'!$Q$22=TRUE,Daten!J155=1)=TRUE,1,0)</f>
        <v>0</v>
      </c>
      <c r="J155" s="155">
        <f>IF(Daten!$U155=13,1,0)</f>
        <v>1</v>
      </c>
      <c r="K155" s="156">
        <f>IF(Daten!$U155&lt;&gt;Daten!$V155,1,IF(Daten!$U155=14,1,0))</f>
        <v>1</v>
      </c>
      <c r="L155" s="156">
        <f>IF(Daten!$U155&lt;&gt;Daten!$V155,1,IF(Daten!$U155=16,1,0))</f>
        <v>1</v>
      </c>
      <c r="M155" s="156">
        <f>IF(Daten!$V155=17,1,0)</f>
        <v>1</v>
      </c>
      <c r="N155" s="157">
        <f ca="1">IF(Daten!$W155=Sprache!$A$60,1,0)</f>
        <v>0</v>
      </c>
      <c r="O155" s="169">
        <f>IF(AND(Daten!$AK155&lt;=KINVARO!$AW$3,Daten!$AL155&gt;=KINVARO!$AW$3)=TRUE,1,0)</f>
        <v>1</v>
      </c>
      <c r="P155" s="169">
        <f>IF(AND(Daten!$Z155&lt;=KINVARO!$AW$4,Daten!$AA155&gt;=KINVARO!$AW$4)=TRUE,1,0)</f>
        <v>0</v>
      </c>
      <c r="Q155" s="169"/>
      <c r="R155" s="169">
        <f>IF(AND(Daten!$AC155&lt;='Material+Limits'!$I$58,Daten!$AD155&gt;='Material+Limits'!$I$58)=TRUE,1,0)</f>
        <v>1</v>
      </c>
      <c r="S155" s="32">
        <f ca="1">IF(Daten!$X155=Sprache!$A$125,1,0)</f>
        <v>1</v>
      </c>
      <c r="T155" s="30" t="str">
        <f ca="1">Sprache!$A$56</f>
        <v>Podnośnik T-71</v>
      </c>
      <c r="U155" s="32">
        <v>13</v>
      </c>
      <c r="V155" s="29">
        <v>17</v>
      </c>
      <c r="W155" s="30">
        <f ca="1">Sprache!$A$132</f>
        <v>0</v>
      </c>
      <c r="X155" s="30">
        <f ca="1">Sprache!$A$125</f>
        <v>0</v>
      </c>
      <c r="Y155" s="30" t="str">
        <f ca="1">Sprache!$A$69</f>
        <v>Front</v>
      </c>
      <c r="Z155" s="30">
        <v>350</v>
      </c>
      <c r="AA155" s="28">
        <v>399</v>
      </c>
      <c r="AB155" s="30"/>
      <c r="AC155" s="31">
        <v>2.2999999999999998</v>
      </c>
      <c r="AD155" s="53">
        <v>7.5</v>
      </c>
      <c r="AE155" s="30" t="s">
        <v>803</v>
      </c>
      <c r="AF155" s="30" t="str">
        <f ca="1">Sprache!$A$101</f>
        <v>Zestaw (prawy+lewy)</v>
      </c>
      <c r="AG155" s="30" t="s">
        <v>26</v>
      </c>
      <c r="AH155" s="30" t="str">
        <f ca="1">Sprache!$A$118</f>
        <v>Sprężyna pomarańczowa</v>
      </c>
      <c r="AI155" s="30" t="str">
        <f ca="1">Sprache!$A$136</f>
        <v>Adapter do ram aluminiowych, do Kinvaro T-71 zest.</v>
      </c>
      <c r="AJ155" s="243" t="s">
        <v>826</v>
      </c>
      <c r="AK155" s="30">
        <f>'Material+Limits'!$K$9</f>
        <v>200</v>
      </c>
      <c r="AL155" s="28">
        <v>1200</v>
      </c>
      <c r="AM155" s="30"/>
      <c r="AN155" s="28"/>
    </row>
    <row r="156" spans="1:48" x14ac:dyDescent="0.25">
      <c r="A156" t="str">
        <f t="shared" ca="1" si="5"/>
        <v/>
      </c>
      <c r="B156" t="str">
        <f t="shared" ca="1" si="4"/>
        <v/>
      </c>
      <c r="C156" s="79">
        <f>IF('Material+Limits'!$P$8=TRUE,1,0)</f>
        <v>0</v>
      </c>
      <c r="D156" s="39">
        <f>IF(Daten!$O156+Daten!$P156+Daten!$R156=3,1,0)</f>
        <v>0</v>
      </c>
      <c r="E156" s="184">
        <f ca="1">IF(AND('Material+Limits'!$Q$21=TRUE,Daten!N156=1)=TRUE,1,0)</f>
        <v>1</v>
      </c>
      <c r="F156" s="185">
        <f ca="1">IF(AND('Material+Limits'!$Q$25=TRUE,Daten!M156=1)=TRUE,1,0)</f>
        <v>0</v>
      </c>
      <c r="G156" s="185">
        <f ca="1">IF(AND('Material+Limits'!$Q$24=TRUE,Daten!L156=1)=TRUE,1,0)</f>
        <v>0</v>
      </c>
      <c r="H156" s="185">
        <f ca="1">IF(AND('Material+Limits'!$Q$23=TRUE,Daten!K156=1)=TRUE,1,0)</f>
        <v>0</v>
      </c>
      <c r="I156" s="185">
        <f ca="1">IF(AND('Material+Limits'!$Q$22=TRUE,Daten!J156=1)=TRUE,1,0)</f>
        <v>0</v>
      </c>
      <c r="J156" s="158">
        <f ca="1">IF(Daten!$U156=13,1,0)</f>
        <v>0</v>
      </c>
      <c r="K156" s="159">
        <f ca="1">IF(Daten!$U156&lt;&gt;Daten!$V156,1,IF(Daten!$U156=14,1,0))</f>
        <v>0</v>
      </c>
      <c r="L156" s="159">
        <f ca="1">IF(Daten!$U156&lt;&gt;Daten!$V156,1,IF(Daten!$U156=16,1,0))</f>
        <v>0</v>
      </c>
      <c r="M156" s="159">
        <f ca="1">IF(Daten!$V156=17,1,0)</f>
        <v>0</v>
      </c>
      <c r="N156" s="160">
        <f ca="1">IF(Daten!$W156=Sprache!$A$60,1,0)</f>
        <v>1</v>
      </c>
      <c r="O156" s="173">
        <f>IF(AND(Daten!$AK156&lt;=KINVARO!$AW$3,Daten!$AL156&gt;=KINVARO!$AW$3)=TRUE,1,0)</f>
        <v>1</v>
      </c>
      <c r="P156" s="174">
        <f>IF(AND(Daten!$Z156&lt;=KINVARO!$AW$4,Daten!$AA156&gt;=KINVARO!$AW$4)=TRUE,1,0)</f>
        <v>0</v>
      </c>
      <c r="Q156" s="174"/>
      <c r="R156" s="174">
        <f>IF(AND(Daten!$AC156&lt;='Material+Limits'!$I$58,Daten!$AD156&gt;='Material+Limits'!$I$58)=TRUE,1,0)</f>
        <v>0</v>
      </c>
      <c r="S156" s="38">
        <f ca="1">IF(Daten!$X156=Sprache!$A$125,1,0)</f>
        <v>1</v>
      </c>
      <c r="T156" s="57" t="str">
        <f ca="1">Sprache!$A$56</f>
        <v>Podnośnik T-71</v>
      </c>
      <c r="U156" s="55">
        <f ca="1">Sprache!$A$64</f>
        <v>0</v>
      </c>
      <c r="V156" s="38">
        <f ca="1">Sprache!$A$64</f>
        <v>0</v>
      </c>
      <c r="W156" s="56" t="str">
        <f ca="1">Sprache!$A$60</f>
        <v>Front lity (drewno/płyta)</v>
      </c>
      <c r="X156" s="56">
        <f ca="1">Sprache!$A$125</f>
        <v>0</v>
      </c>
      <c r="Y156" s="56" t="str">
        <f ca="1">Sprache!$A$69</f>
        <v>Front</v>
      </c>
      <c r="Z156" s="56">
        <v>400</v>
      </c>
      <c r="AA156" s="57">
        <v>449</v>
      </c>
      <c r="AB156" s="56"/>
      <c r="AC156" s="58">
        <v>1.7</v>
      </c>
      <c r="AD156" s="59">
        <v>5.4</v>
      </c>
      <c r="AE156" s="56" t="s">
        <v>803</v>
      </c>
      <c r="AF156" s="56" t="str">
        <f ca="1">Sprache!$A$101</f>
        <v>Zestaw (prawy+lewy)</v>
      </c>
      <c r="AG156" s="56" t="s">
        <v>26</v>
      </c>
      <c r="AH156" s="56" t="str">
        <f ca="1">Sprache!$A$117</f>
        <v>Sprężyna biała</v>
      </c>
      <c r="AI156" s="56" t="s">
        <v>26</v>
      </c>
      <c r="AJ156" s="56" t="s">
        <v>26</v>
      </c>
      <c r="AK156" s="56">
        <f>'Material+Limits'!$K$9</f>
        <v>200</v>
      </c>
      <c r="AL156" s="57">
        <v>1200</v>
      </c>
      <c r="AM156" s="30"/>
      <c r="AN156" s="24"/>
      <c r="AO156"/>
      <c r="AR156"/>
      <c r="AS156"/>
      <c r="AT156"/>
      <c r="AU156"/>
      <c r="AV156"/>
    </row>
    <row r="157" spans="1:48" x14ac:dyDescent="0.25">
      <c r="A157" t="str">
        <f t="shared" ca="1" si="5"/>
        <v/>
      </c>
      <c r="B157" t="str">
        <f t="shared" ca="1" si="4"/>
        <v/>
      </c>
      <c r="C157" s="79">
        <f>IF('Material+Limits'!$P$8=TRUE,1,0)</f>
        <v>0</v>
      </c>
      <c r="D157" s="39">
        <f>IF(Daten!$O157+Daten!$P157+Daten!$R157=3,1,0)</f>
        <v>0</v>
      </c>
      <c r="E157" s="184">
        <f ca="1">IF(AND('Material+Limits'!$Q$21=TRUE,Daten!N157=1)=TRUE,1,0)</f>
        <v>1</v>
      </c>
      <c r="F157" s="185">
        <f ca="1">IF(AND('Material+Limits'!$Q$25=TRUE,Daten!M157=1)=TRUE,1,0)</f>
        <v>0</v>
      </c>
      <c r="G157" s="185">
        <f ca="1">IF(AND('Material+Limits'!$Q$24=TRUE,Daten!L157=1)=TRUE,1,0)</f>
        <v>0</v>
      </c>
      <c r="H157" s="185">
        <f ca="1">IF(AND('Material+Limits'!$Q$23=TRUE,Daten!K157=1)=TRUE,1,0)</f>
        <v>0</v>
      </c>
      <c r="I157" s="185">
        <f ca="1">IF(AND('Material+Limits'!$Q$22=TRUE,Daten!J157=1)=TRUE,1,0)</f>
        <v>0</v>
      </c>
      <c r="J157" s="155">
        <f ca="1">IF(Daten!$U157=13,1,0)</f>
        <v>0</v>
      </c>
      <c r="K157" s="156">
        <f ca="1">IF(Daten!$U157&lt;&gt;Daten!$V157,1,IF(Daten!$U157=14,1,0))</f>
        <v>0</v>
      </c>
      <c r="L157" s="156">
        <f ca="1">IF(Daten!$U157&lt;&gt;Daten!$V157,1,IF(Daten!$U157=16,1,0))</f>
        <v>0</v>
      </c>
      <c r="M157" s="156">
        <f ca="1">IF(Daten!$V157=17,1,0)</f>
        <v>0</v>
      </c>
      <c r="N157" s="157">
        <f ca="1">IF(Daten!$W157=Sprache!$A$60,1,0)</f>
        <v>1</v>
      </c>
      <c r="O157" s="169">
        <f>IF(AND(Daten!$AK157&lt;=KINVARO!$AW$3,Daten!$AL157&gt;=KINVARO!$AW$3)=TRUE,1,0)</f>
        <v>1</v>
      </c>
      <c r="P157" s="170">
        <f>IF(AND(Daten!$Z157&lt;=KINVARO!$AW$4,Daten!$AA157&gt;=KINVARO!$AW$4)=TRUE,1,0)</f>
        <v>0</v>
      </c>
      <c r="R157" s="170">
        <f>IF(AND(Daten!$AC157&lt;='Material+Limits'!$I$58,Daten!$AD157&gt;='Material+Limits'!$I$58)=TRUE,1,0)</f>
        <v>1</v>
      </c>
      <c r="S157" s="29">
        <f ca="1">IF(Daten!$X157=Sprache!$A$125,1,0)</f>
        <v>1</v>
      </c>
      <c r="T157" s="28" t="str">
        <f ca="1">Sprache!$A$56</f>
        <v>Podnośnik T-71</v>
      </c>
      <c r="U157" s="32">
        <f ca="1">Sprache!$A$64</f>
        <v>0</v>
      </c>
      <c r="V157" s="29">
        <f ca="1">Sprache!$A$64</f>
        <v>0</v>
      </c>
      <c r="W157" s="30" t="str">
        <f ca="1">Sprache!$A$60</f>
        <v>Front lity (drewno/płyta)</v>
      </c>
      <c r="X157" s="30">
        <f ca="1">Sprache!$A$125</f>
        <v>0</v>
      </c>
      <c r="Y157" s="30" t="str">
        <f ca="1">Sprache!$A$69</f>
        <v>Front</v>
      </c>
      <c r="Z157" s="30">
        <v>400</v>
      </c>
      <c r="AA157" s="28">
        <v>449</v>
      </c>
      <c r="AB157" s="30"/>
      <c r="AC157" s="31">
        <v>2.1</v>
      </c>
      <c r="AD157" s="53">
        <v>6.8</v>
      </c>
      <c r="AE157" s="30" t="s">
        <v>803</v>
      </c>
      <c r="AF157" s="30" t="str">
        <f ca="1">Sprache!$A$101</f>
        <v>Zestaw (prawy+lewy)</v>
      </c>
      <c r="AG157" s="30" t="s">
        <v>26</v>
      </c>
      <c r="AH157" s="30" t="str">
        <f ca="1">Sprache!$A$118</f>
        <v>Sprężyna pomarańczowa</v>
      </c>
      <c r="AI157" s="30" t="s">
        <v>26</v>
      </c>
      <c r="AJ157" s="30" t="s">
        <v>26</v>
      </c>
      <c r="AK157" s="30">
        <f>'Material+Limits'!$K$9</f>
        <v>200</v>
      </c>
      <c r="AL157" s="28">
        <v>1200</v>
      </c>
      <c r="AM157" s="30"/>
      <c r="AN157" s="28"/>
      <c r="AO157"/>
      <c r="AR157"/>
      <c r="AS157"/>
      <c r="AT157"/>
      <c r="AU157"/>
      <c r="AV157"/>
    </row>
    <row r="158" spans="1:48" x14ac:dyDescent="0.25">
      <c r="A158" t="str">
        <f t="shared" ca="1" si="5"/>
        <v/>
      </c>
      <c r="B158" t="str">
        <f t="shared" ca="1" si="4"/>
        <v/>
      </c>
      <c r="C158" s="79">
        <f>IF('Material+Limits'!$P$8=TRUE,1,0)</f>
        <v>0</v>
      </c>
      <c r="D158" s="39">
        <f>IF(Daten!$O158+Daten!$P158+Daten!$R158=3,1,0)</f>
        <v>0</v>
      </c>
      <c r="E158" s="184">
        <f ca="1">IF(AND('Material+Limits'!$Q$21=TRUE,Daten!N158=1)=TRUE,1,0)</f>
        <v>0</v>
      </c>
      <c r="F158" s="185">
        <f>IF(AND('Material+Limits'!$Q$25=TRUE,Daten!M158=1)=TRUE,1,0)</f>
        <v>0</v>
      </c>
      <c r="G158" s="185">
        <f>IF(AND('Material+Limits'!$Q$24=TRUE,Daten!L158=1)=TRUE,1,0)</f>
        <v>0</v>
      </c>
      <c r="H158" s="185">
        <f>IF(AND('Material+Limits'!$Q$23=TRUE,Daten!K158=1)=TRUE,1,0)</f>
        <v>0</v>
      </c>
      <c r="I158" s="185">
        <f>IF(AND('Material+Limits'!$Q$22=TRUE,Daten!J158=1)=TRUE,1,0)</f>
        <v>0</v>
      </c>
      <c r="J158" s="158">
        <f>IF(Daten!$U158=13,1,0)</f>
        <v>1</v>
      </c>
      <c r="K158" s="159">
        <f>IF(Daten!$U158&lt;&gt;Daten!$V158,1,IF(Daten!$U158=14,1,0))</f>
        <v>1</v>
      </c>
      <c r="L158" s="159">
        <f>IF(Daten!$U158&lt;&gt;Daten!$V158,1,IF(Daten!$U158=16,1,0))</f>
        <v>1</v>
      </c>
      <c r="M158" s="159">
        <f>IF(Daten!$V158=17,1,0)</f>
        <v>1</v>
      </c>
      <c r="N158" s="160">
        <f ca="1">IF(Daten!$W158=Sprache!$A$60,1,0)</f>
        <v>0</v>
      </c>
      <c r="O158" s="171">
        <f>IF(AND(Daten!$AK158&lt;=KINVARO!$AW$3,Daten!$AL158&gt;=KINVARO!$AW$3)=TRUE,1,0)</f>
        <v>1</v>
      </c>
      <c r="P158" s="172">
        <f>IF(AND(Daten!$Z158&lt;=KINVARO!$AW$4,Daten!$AA158&gt;=KINVARO!$AW$4)=TRUE,1,0)</f>
        <v>0</v>
      </c>
      <c r="Q158" s="172"/>
      <c r="R158" s="172">
        <f>IF(AND(Daten!$AC158&lt;='Material+Limits'!$I$58,Daten!$AD158&gt;='Material+Limits'!$I$58)=TRUE,1,0)</f>
        <v>0</v>
      </c>
      <c r="S158" s="23">
        <f ca="1">IF(Daten!$X158=Sprache!$A$125,1,0)</f>
        <v>1</v>
      </c>
      <c r="T158" s="24" t="str">
        <f ca="1">Sprache!$A$56</f>
        <v>Podnośnik T-71</v>
      </c>
      <c r="U158" s="27">
        <v>13</v>
      </c>
      <c r="V158" s="23">
        <v>17</v>
      </c>
      <c r="W158" s="25">
        <f ca="1">Sprache!$A$132</f>
        <v>0</v>
      </c>
      <c r="X158" s="25">
        <f ca="1">Sprache!$A$125</f>
        <v>0</v>
      </c>
      <c r="Y158" s="25" t="str">
        <f ca="1">Sprache!$A$69</f>
        <v>Front</v>
      </c>
      <c r="Z158" s="25">
        <v>400</v>
      </c>
      <c r="AA158" s="24">
        <v>449</v>
      </c>
      <c r="AB158" s="25"/>
      <c r="AC158" s="26">
        <v>1.7</v>
      </c>
      <c r="AD158" s="54">
        <v>5.4</v>
      </c>
      <c r="AE158" s="25" t="s">
        <v>803</v>
      </c>
      <c r="AF158" s="25" t="str">
        <f ca="1">Sprache!$A$101</f>
        <v>Zestaw (prawy+lewy)</v>
      </c>
      <c r="AG158" s="25" t="s">
        <v>26</v>
      </c>
      <c r="AH158" s="25" t="str">
        <f ca="1">Sprache!$A$117</f>
        <v>Sprężyna biała</v>
      </c>
      <c r="AI158" s="25" t="str">
        <f ca="1">Sprache!$A$136</f>
        <v>Adapter do ram aluminiowych, do Kinvaro T-71 zest.</v>
      </c>
      <c r="AJ158" s="242" t="s">
        <v>826</v>
      </c>
      <c r="AK158" s="25">
        <f>'Material+Limits'!$K$9</f>
        <v>200</v>
      </c>
      <c r="AL158" s="24">
        <v>1200</v>
      </c>
      <c r="AM158" s="30"/>
      <c r="AN158" s="24"/>
      <c r="AO158"/>
      <c r="AR158"/>
      <c r="AS158"/>
      <c r="AT158"/>
      <c r="AU158"/>
      <c r="AV158"/>
    </row>
    <row r="159" spans="1:48" s="5" customFormat="1" x14ac:dyDescent="0.25">
      <c r="A159" t="str">
        <f t="shared" ca="1" si="5"/>
        <v/>
      </c>
      <c r="B159" t="str">
        <f t="shared" ca="1" si="4"/>
        <v/>
      </c>
      <c r="C159" s="79">
        <f>IF('Material+Limits'!$P$8=TRUE,1,0)</f>
        <v>0</v>
      </c>
      <c r="D159" s="39">
        <f>IF(Daten!$O159+Daten!$P159+Daten!$R159=3,1,0)</f>
        <v>0</v>
      </c>
      <c r="E159" s="184">
        <f ca="1">IF(AND('Material+Limits'!$Q$21=TRUE,Daten!N159=1)=TRUE,1,0)</f>
        <v>0</v>
      </c>
      <c r="F159" s="185">
        <f>IF(AND('Material+Limits'!$Q$25=TRUE,Daten!M159=1)=TRUE,1,0)</f>
        <v>0</v>
      </c>
      <c r="G159" s="185">
        <f>IF(AND('Material+Limits'!$Q$24=TRUE,Daten!L159=1)=TRUE,1,0)</f>
        <v>0</v>
      </c>
      <c r="H159" s="185">
        <f>IF(AND('Material+Limits'!$Q$23=TRUE,Daten!K159=1)=TRUE,1,0)</f>
        <v>0</v>
      </c>
      <c r="I159" s="185">
        <f>IF(AND('Material+Limits'!$Q$22=TRUE,Daten!J159=1)=TRUE,1,0)</f>
        <v>0</v>
      </c>
      <c r="J159" s="155">
        <f>IF(Daten!$U159=13,1,0)</f>
        <v>1</v>
      </c>
      <c r="K159" s="156">
        <f>IF(Daten!$U159&lt;&gt;Daten!$V159,1,IF(Daten!$U159=14,1,0))</f>
        <v>1</v>
      </c>
      <c r="L159" s="156">
        <f>IF(Daten!$U159&lt;&gt;Daten!$V159,1,IF(Daten!$U159=16,1,0))</f>
        <v>1</v>
      </c>
      <c r="M159" s="156">
        <f>IF(Daten!$V159=17,1,0)</f>
        <v>1</v>
      </c>
      <c r="N159" s="157">
        <f ca="1">IF(Daten!$W159=Sprache!$A$60,1,0)</f>
        <v>0</v>
      </c>
      <c r="O159" s="169">
        <f>IF(AND(Daten!$AK159&lt;=KINVARO!$AW$3,Daten!$AL159&gt;=KINVARO!$AW$3)=TRUE,1,0)</f>
        <v>1</v>
      </c>
      <c r="P159" s="170">
        <f>IF(AND(Daten!$Z159&lt;=KINVARO!$AW$4,Daten!$AA159&gt;=KINVARO!$AW$4)=TRUE,1,0)</f>
        <v>0</v>
      </c>
      <c r="Q159" s="170"/>
      <c r="R159" s="170">
        <f>IF(AND(Daten!$AC159&lt;='Material+Limits'!$I$58,Daten!$AD159&gt;='Material+Limits'!$I$58)=TRUE,1,0)</f>
        <v>1</v>
      </c>
      <c r="S159" s="29">
        <f ca="1">IF(Daten!$X159=Sprache!$A$125,1,0)</f>
        <v>1</v>
      </c>
      <c r="T159" s="28" t="str">
        <f ca="1">Sprache!$A$56</f>
        <v>Podnośnik T-71</v>
      </c>
      <c r="U159" s="32">
        <v>13</v>
      </c>
      <c r="V159" s="29">
        <v>17</v>
      </c>
      <c r="W159" s="30">
        <f ca="1">Sprache!$A$132</f>
        <v>0</v>
      </c>
      <c r="X159" s="30">
        <f ca="1">Sprache!$A$125</f>
        <v>0</v>
      </c>
      <c r="Y159" s="30" t="str">
        <f ca="1">Sprache!$A$69</f>
        <v>Front</v>
      </c>
      <c r="Z159" s="30">
        <v>400</v>
      </c>
      <c r="AA159" s="28">
        <v>449</v>
      </c>
      <c r="AB159" s="30"/>
      <c r="AC159" s="31">
        <v>2.1</v>
      </c>
      <c r="AD159" s="53">
        <v>6.8</v>
      </c>
      <c r="AE159" s="30" t="s">
        <v>803</v>
      </c>
      <c r="AF159" s="30" t="str">
        <f ca="1">Sprache!$A$101</f>
        <v>Zestaw (prawy+lewy)</v>
      </c>
      <c r="AG159" s="30" t="s">
        <v>26</v>
      </c>
      <c r="AH159" s="30" t="str">
        <f ca="1">Sprache!$A$118</f>
        <v>Sprężyna pomarańczowa</v>
      </c>
      <c r="AI159" s="30" t="str">
        <f ca="1">Sprache!$A$136</f>
        <v>Adapter do ram aluminiowych, do Kinvaro T-71 zest.</v>
      </c>
      <c r="AJ159" s="243" t="s">
        <v>826</v>
      </c>
      <c r="AK159" s="30">
        <f>'Material+Limits'!$K$9</f>
        <v>200</v>
      </c>
      <c r="AL159" s="28">
        <v>1200</v>
      </c>
      <c r="AM159" s="30"/>
      <c r="AN159" s="28"/>
    </row>
    <row r="160" spans="1:48" x14ac:dyDescent="0.25">
      <c r="A160" t="str">
        <f t="shared" ca="1" si="5"/>
        <v/>
      </c>
      <c r="B160" t="str">
        <f t="shared" ca="1" si="4"/>
        <v/>
      </c>
      <c r="C160" s="79">
        <f>IF('Material+Limits'!$P$8=TRUE,1,0)</f>
        <v>0</v>
      </c>
      <c r="D160" s="39">
        <f>IF(Daten!$O160+Daten!$P160+Daten!$R160=3,1,0)</f>
        <v>0</v>
      </c>
      <c r="E160" s="184">
        <f ca="1">IF(AND('Material+Limits'!$Q$21=TRUE,Daten!N160=1)=TRUE,1,0)</f>
        <v>1</v>
      </c>
      <c r="F160" s="185">
        <f ca="1">IF(AND('Material+Limits'!$Q$25=TRUE,Daten!M160=1)=TRUE,1,0)</f>
        <v>0</v>
      </c>
      <c r="G160" s="185">
        <f ca="1">IF(AND('Material+Limits'!$Q$24=TRUE,Daten!L160=1)=TRUE,1,0)</f>
        <v>0</v>
      </c>
      <c r="H160" s="185">
        <f ca="1">IF(AND('Material+Limits'!$Q$23=TRUE,Daten!K160=1)=TRUE,1,0)</f>
        <v>0</v>
      </c>
      <c r="I160" s="185">
        <f ca="1">IF(AND('Material+Limits'!$Q$22=TRUE,Daten!J160=1)=TRUE,1,0)</f>
        <v>0</v>
      </c>
      <c r="J160" s="158">
        <f ca="1">IF(Daten!$U160=13,1,0)</f>
        <v>0</v>
      </c>
      <c r="K160" s="159">
        <f ca="1">IF(Daten!$U160&lt;&gt;Daten!$V160,1,IF(Daten!$U160=14,1,0))</f>
        <v>0</v>
      </c>
      <c r="L160" s="159">
        <f ca="1">IF(Daten!$U160&lt;&gt;Daten!$V160,1,IF(Daten!$U160=16,1,0))</f>
        <v>0</v>
      </c>
      <c r="M160" s="159">
        <f ca="1">IF(Daten!$V160=17,1,0)</f>
        <v>0</v>
      </c>
      <c r="N160" s="160">
        <f ca="1">IF(Daten!$W160=Sprache!$A$60,1,0)</f>
        <v>1</v>
      </c>
      <c r="O160" s="173">
        <f>IF(AND(Daten!$AK160&lt;=KINVARO!$AW$3,Daten!$AL160&gt;=KINVARO!$AW$3)=TRUE,1,0)</f>
        <v>1</v>
      </c>
      <c r="P160" s="173">
        <f>IF(AND(Daten!$Z160&lt;=KINVARO!$AW$4,Daten!$AA160&gt;=KINVARO!$AW$4)=TRUE,1,0)</f>
        <v>0</v>
      </c>
      <c r="Q160" s="173"/>
      <c r="R160" s="173">
        <f>IF(AND(Daten!$AC160&lt;='Material+Limits'!$I$58,Daten!$AD160&gt;='Material+Limits'!$I$58)=TRUE,1,0)</f>
        <v>0</v>
      </c>
      <c r="S160" s="55">
        <f ca="1">IF(Daten!$X160=Sprache!$A$125,1,0)</f>
        <v>1</v>
      </c>
      <c r="T160" s="56" t="str">
        <f ca="1">Sprache!$A$56</f>
        <v>Podnośnik T-71</v>
      </c>
      <c r="U160" s="55">
        <f ca="1">Sprache!$A$64</f>
        <v>0</v>
      </c>
      <c r="V160" s="38">
        <f ca="1">Sprache!$A$64</f>
        <v>0</v>
      </c>
      <c r="W160" s="56" t="str">
        <f ca="1">Sprache!$A$60</f>
        <v>Front lity (drewno/płyta)</v>
      </c>
      <c r="X160" s="56">
        <f ca="1">Sprache!$A$125</f>
        <v>0</v>
      </c>
      <c r="Y160" s="56" t="str">
        <f ca="1">Sprache!$A$69</f>
        <v>Front</v>
      </c>
      <c r="Z160" s="56">
        <v>450</v>
      </c>
      <c r="AA160" s="57">
        <v>499</v>
      </c>
      <c r="AB160" s="56"/>
      <c r="AC160" s="58">
        <v>1.6</v>
      </c>
      <c r="AD160" s="59">
        <v>4.7</v>
      </c>
      <c r="AE160" s="56" t="s">
        <v>803</v>
      </c>
      <c r="AF160" s="56" t="str">
        <f ca="1">Sprache!$A$101</f>
        <v>Zestaw (prawy+lewy)</v>
      </c>
      <c r="AG160" s="56" t="s">
        <v>26</v>
      </c>
      <c r="AH160" s="56" t="str">
        <f ca="1">Sprache!$A$117</f>
        <v>Sprężyna biała</v>
      </c>
      <c r="AI160" s="56" t="s">
        <v>26</v>
      </c>
      <c r="AJ160" s="56" t="s">
        <v>26</v>
      </c>
      <c r="AK160" s="56">
        <f>'Material+Limits'!$K$9</f>
        <v>200</v>
      </c>
      <c r="AL160" s="57">
        <v>1200</v>
      </c>
      <c r="AM160" s="30"/>
      <c r="AN160" s="24"/>
      <c r="AO160"/>
      <c r="AR160"/>
      <c r="AS160"/>
      <c r="AT160"/>
      <c r="AU160"/>
      <c r="AV160"/>
    </row>
    <row r="161" spans="1:48" x14ac:dyDescent="0.25">
      <c r="A161" t="str">
        <f t="shared" ca="1" si="5"/>
        <v/>
      </c>
      <c r="B161" t="str">
        <f t="shared" ca="1" si="4"/>
        <v/>
      </c>
      <c r="C161" s="79">
        <f>IF('Material+Limits'!$P$8=TRUE,1,0)</f>
        <v>0</v>
      </c>
      <c r="D161" s="39">
        <f>IF(Daten!$O161+Daten!$P161+Daten!$R161=3,1,0)</f>
        <v>0</v>
      </c>
      <c r="E161" s="184">
        <f ca="1">IF(AND('Material+Limits'!$Q$21=TRUE,Daten!N161=1)=TRUE,1,0)</f>
        <v>1</v>
      </c>
      <c r="F161" s="185">
        <f ca="1">IF(AND('Material+Limits'!$Q$25=TRUE,Daten!M161=1)=TRUE,1,0)</f>
        <v>0</v>
      </c>
      <c r="G161" s="185">
        <f ca="1">IF(AND('Material+Limits'!$Q$24=TRUE,Daten!L161=1)=TRUE,1,0)</f>
        <v>0</v>
      </c>
      <c r="H161" s="185">
        <f ca="1">IF(AND('Material+Limits'!$Q$23=TRUE,Daten!K161=1)=TRUE,1,0)</f>
        <v>0</v>
      </c>
      <c r="I161" s="185">
        <f ca="1">IF(AND('Material+Limits'!$Q$22=TRUE,Daten!J161=1)=TRUE,1,0)</f>
        <v>0</v>
      </c>
      <c r="J161" s="155">
        <f ca="1">IF(Daten!$U161=13,1,0)</f>
        <v>0</v>
      </c>
      <c r="K161" s="156">
        <f ca="1">IF(Daten!$U161&lt;&gt;Daten!$V161,1,IF(Daten!$U161=14,1,0))</f>
        <v>0</v>
      </c>
      <c r="L161" s="156">
        <f ca="1">IF(Daten!$U161&lt;&gt;Daten!$V161,1,IF(Daten!$U161=16,1,0))</f>
        <v>0</v>
      </c>
      <c r="M161" s="156">
        <f ca="1">IF(Daten!$V161=17,1,0)</f>
        <v>0</v>
      </c>
      <c r="N161" s="157">
        <f ca="1">IF(Daten!$W161=Sprache!$A$60,1,0)</f>
        <v>1</v>
      </c>
      <c r="O161" s="169">
        <f>IF(AND(Daten!$AK161&lt;=KINVARO!$AW$3,Daten!$AL161&gt;=KINVARO!$AW$3)=TRUE,1,0)</f>
        <v>1</v>
      </c>
      <c r="P161" s="169">
        <f>IF(AND(Daten!$Z161&lt;=KINVARO!$AW$4,Daten!$AA161&gt;=KINVARO!$AW$4)=TRUE,1,0)</f>
        <v>0</v>
      </c>
      <c r="Q161" s="169"/>
      <c r="R161" s="169">
        <f>IF(AND(Daten!$AC161&lt;='Material+Limits'!$I$58,Daten!$AD161&gt;='Material+Limits'!$I$58)=TRUE,1,0)</f>
        <v>0</v>
      </c>
      <c r="S161" s="32">
        <f ca="1">IF(Daten!$X161=Sprache!$A$125,1,0)</f>
        <v>1</v>
      </c>
      <c r="T161" s="30" t="str">
        <f ca="1">Sprache!$A$56</f>
        <v>Podnośnik T-71</v>
      </c>
      <c r="U161" s="32">
        <f ca="1">Sprache!$A$64</f>
        <v>0</v>
      </c>
      <c r="V161" s="29">
        <f ca="1">Sprache!$A$64</f>
        <v>0</v>
      </c>
      <c r="W161" s="30" t="str">
        <f ca="1">Sprache!$A$60</f>
        <v>Front lity (drewno/płyta)</v>
      </c>
      <c r="X161" s="30">
        <f ca="1">Sprache!$A$125</f>
        <v>0</v>
      </c>
      <c r="Y161" s="30" t="str">
        <f ca="1">Sprache!$A$69</f>
        <v>Front</v>
      </c>
      <c r="Z161" s="30">
        <v>450</v>
      </c>
      <c r="AA161" s="28">
        <v>499</v>
      </c>
      <c r="AB161" s="30"/>
      <c r="AC161" s="31">
        <v>2</v>
      </c>
      <c r="AD161" s="53">
        <v>5.8</v>
      </c>
      <c r="AE161" s="30" t="s">
        <v>803</v>
      </c>
      <c r="AF161" s="30" t="str">
        <f ca="1">Sprache!$A$101</f>
        <v>Zestaw (prawy+lewy)</v>
      </c>
      <c r="AG161" s="30" t="s">
        <v>26</v>
      </c>
      <c r="AH161" s="30" t="str">
        <f ca="1">Sprache!$A$118</f>
        <v>Sprężyna pomarańczowa</v>
      </c>
      <c r="AI161" s="30" t="s">
        <v>26</v>
      </c>
      <c r="AJ161" s="30" t="s">
        <v>26</v>
      </c>
      <c r="AK161" s="30">
        <f>'Material+Limits'!$K$9</f>
        <v>200</v>
      </c>
      <c r="AL161" s="28">
        <v>1200</v>
      </c>
      <c r="AM161" s="30"/>
      <c r="AN161" s="28"/>
      <c r="AO161"/>
      <c r="AR161"/>
      <c r="AS161"/>
      <c r="AT161"/>
      <c r="AU161"/>
      <c r="AV161"/>
    </row>
    <row r="162" spans="1:48" x14ac:dyDescent="0.25">
      <c r="A162" t="str">
        <f t="shared" ca="1" si="5"/>
        <v/>
      </c>
      <c r="B162" t="str">
        <f t="shared" ca="1" si="4"/>
        <v/>
      </c>
      <c r="C162" s="79">
        <f>IF('Material+Limits'!$P$8=TRUE,1,0)</f>
        <v>0</v>
      </c>
      <c r="D162" s="39">
        <f>IF(Daten!$O162+Daten!$P162+Daten!$R162=3,1,0)</f>
        <v>0</v>
      </c>
      <c r="E162" s="184">
        <f ca="1">IF(AND('Material+Limits'!$Q$21=TRUE,Daten!N162=1)=TRUE,1,0)</f>
        <v>0</v>
      </c>
      <c r="F162" s="185">
        <f>IF(AND('Material+Limits'!$Q$25=TRUE,Daten!M162=1)=TRUE,1,0)</f>
        <v>0</v>
      </c>
      <c r="G162" s="185">
        <f>IF(AND('Material+Limits'!$Q$24=TRUE,Daten!L162=1)=TRUE,1,0)</f>
        <v>0</v>
      </c>
      <c r="H162" s="185">
        <f>IF(AND('Material+Limits'!$Q$23=TRUE,Daten!K162=1)=TRUE,1,0)</f>
        <v>0</v>
      </c>
      <c r="I162" s="185">
        <f>IF(AND('Material+Limits'!$Q$22=TRUE,Daten!J162=1)=TRUE,1,0)</f>
        <v>0</v>
      </c>
      <c r="J162" s="158">
        <f>IF(Daten!$U162=13,1,0)</f>
        <v>1</v>
      </c>
      <c r="K162" s="159">
        <f>IF(Daten!$U162&lt;&gt;Daten!$V162,1,IF(Daten!$U162=14,1,0))</f>
        <v>1</v>
      </c>
      <c r="L162" s="159">
        <f>IF(Daten!$U162&lt;&gt;Daten!$V162,1,IF(Daten!$U162=16,1,0))</f>
        <v>1</v>
      </c>
      <c r="M162" s="159">
        <f>IF(Daten!$V162=17,1,0)</f>
        <v>1</v>
      </c>
      <c r="N162" s="160">
        <f ca="1">IF(Daten!$W162=Sprache!$A$60,1,0)</f>
        <v>0</v>
      </c>
      <c r="O162" s="171">
        <f>IF(AND(Daten!$AK162&lt;=KINVARO!$AW$3,Daten!$AL162&gt;=KINVARO!$AW$3)=TRUE,1,0)</f>
        <v>1</v>
      </c>
      <c r="P162" s="171">
        <f>IF(AND(Daten!$Z162&lt;=KINVARO!$AW$4,Daten!$AA162&gt;=KINVARO!$AW$4)=TRUE,1,0)</f>
        <v>0</v>
      </c>
      <c r="Q162" s="171"/>
      <c r="R162" s="171">
        <f>IF(AND(Daten!$AC162&lt;='Material+Limits'!$I$58,Daten!$AD162&gt;='Material+Limits'!$I$58)=TRUE,1,0)</f>
        <v>0</v>
      </c>
      <c r="S162" s="27">
        <f ca="1">IF(Daten!$X162=Sprache!$A$125,1,0)</f>
        <v>1</v>
      </c>
      <c r="T162" s="25" t="str">
        <f ca="1">Sprache!$A$56</f>
        <v>Podnośnik T-71</v>
      </c>
      <c r="U162" s="27">
        <v>13</v>
      </c>
      <c r="V162" s="23">
        <v>17</v>
      </c>
      <c r="W162" s="25">
        <f ca="1">Sprache!$A$132</f>
        <v>0</v>
      </c>
      <c r="X162" s="25">
        <f ca="1">Sprache!$A$125</f>
        <v>0</v>
      </c>
      <c r="Y162" s="25" t="str">
        <f ca="1">Sprache!$A$69</f>
        <v>Front</v>
      </c>
      <c r="Z162" s="25">
        <v>450</v>
      </c>
      <c r="AA162" s="24">
        <v>499</v>
      </c>
      <c r="AB162" s="25"/>
      <c r="AC162" s="26">
        <v>1.6</v>
      </c>
      <c r="AD162" s="54">
        <v>4.7</v>
      </c>
      <c r="AE162" s="25" t="s">
        <v>803</v>
      </c>
      <c r="AF162" s="25" t="str">
        <f ca="1">Sprache!$A$101</f>
        <v>Zestaw (prawy+lewy)</v>
      </c>
      <c r="AG162" s="25" t="s">
        <v>26</v>
      </c>
      <c r="AH162" s="25" t="str">
        <f ca="1">Sprache!$A$117</f>
        <v>Sprężyna biała</v>
      </c>
      <c r="AI162" s="25" t="str">
        <f ca="1">Sprache!$A$136</f>
        <v>Adapter do ram aluminiowych, do Kinvaro T-71 zest.</v>
      </c>
      <c r="AJ162" s="242" t="s">
        <v>826</v>
      </c>
      <c r="AK162" s="25">
        <f>'Material+Limits'!$K$9</f>
        <v>200</v>
      </c>
      <c r="AL162" s="24">
        <v>1200</v>
      </c>
      <c r="AM162" s="30"/>
      <c r="AN162" s="24"/>
      <c r="AO162"/>
      <c r="AR162"/>
      <c r="AS162"/>
      <c r="AT162"/>
      <c r="AU162"/>
      <c r="AV162"/>
    </row>
    <row r="163" spans="1:48" s="5" customFormat="1" x14ac:dyDescent="0.25">
      <c r="A163" t="str">
        <f t="shared" ca="1" si="5"/>
        <v/>
      </c>
      <c r="B163" t="str">
        <f t="shared" ca="1" si="4"/>
        <v/>
      </c>
      <c r="C163" s="79">
        <f>IF('Material+Limits'!$P$8=TRUE,1,0)</f>
        <v>0</v>
      </c>
      <c r="D163" s="39">
        <f>IF(Daten!$O163+Daten!$P163+Daten!$R163=3,1,0)</f>
        <v>0</v>
      </c>
      <c r="E163" s="184">
        <f ca="1">IF(AND('Material+Limits'!$Q$21=TRUE,Daten!N163=1)=TRUE,1,0)</f>
        <v>0</v>
      </c>
      <c r="F163" s="185">
        <f>IF(AND('Material+Limits'!$Q$25=TRUE,Daten!M163=1)=TRUE,1,0)</f>
        <v>0</v>
      </c>
      <c r="G163" s="185">
        <f>IF(AND('Material+Limits'!$Q$24=TRUE,Daten!L163=1)=TRUE,1,0)</f>
        <v>0</v>
      </c>
      <c r="H163" s="185">
        <f>IF(AND('Material+Limits'!$Q$23=TRUE,Daten!K163=1)=TRUE,1,0)</f>
        <v>0</v>
      </c>
      <c r="I163" s="185">
        <f>IF(AND('Material+Limits'!$Q$22=TRUE,Daten!J163=1)=TRUE,1,0)</f>
        <v>0</v>
      </c>
      <c r="J163" s="155">
        <f>IF(Daten!$U163=13,1,0)</f>
        <v>1</v>
      </c>
      <c r="K163" s="156">
        <f>IF(Daten!$U163&lt;&gt;Daten!$V163,1,IF(Daten!$U163=14,1,0))</f>
        <v>1</v>
      </c>
      <c r="L163" s="156">
        <f>IF(Daten!$U163&lt;&gt;Daten!$V163,1,IF(Daten!$U163=16,1,0))</f>
        <v>1</v>
      </c>
      <c r="M163" s="156">
        <f>IF(Daten!$V163=17,1,0)</f>
        <v>1</v>
      </c>
      <c r="N163" s="157">
        <f ca="1">IF(Daten!$W163=Sprache!$A$60,1,0)</f>
        <v>0</v>
      </c>
      <c r="O163" s="169">
        <f>IF(AND(Daten!$AK163&lt;=KINVARO!$AW$3,Daten!$AL163&gt;=KINVARO!$AW$3)=TRUE,1,0)</f>
        <v>1</v>
      </c>
      <c r="P163" s="169">
        <f>IF(AND(Daten!$Z163&lt;=KINVARO!$AW$4,Daten!$AA163&gt;=KINVARO!$AW$4)=TRUE,1,0)</f>
        <v>0</v>
      </c>
      <c r="Q163" s="169"/>
      <c r="R163" s="169">
        <f>IF(AND(Daten!$AC163&lt;='Material+Limits'!$I$58,Daten!$AD163&gt;='Material+Limits'!$I$58)=TRUE,1,0)</f>
        <v>0</v>
      </c>
      <c r="S163" s="32">
        <f ca="1">IF(Daten!$X163=Sprache!$A$125,1,0)</f>
        <v>1</v>
      </c>
      <c r="T163" s="30" t="str">
        <f ca="1">Sprache!$A$56</f>
        <v>Podnośnik T-71</v>
      </c>
      <c r="U163" s="32">
        <v>13</v>
      </c>
      <c r="V163" s="29">
        <v>17</v>
      </c>
      <c r="W163" s="30">
        <f ca="1">Sprache!$A$132</f>
        <v>0</v>
      </c>
      <c r="X163" s="30">
        <f ca="1">Sprache!$A$125</f>
        <v>0</v>
      </c>
      <c r="Y163" s="30" t="str">
        <f ca="1">Sprache!$A$69</f>
        <v>Front</v>
      </c>
      <c r="Z163" s="30">
        <v>450</v>
      </c>
      <c r="AA163" s="28">
        <v>499</v>
      </c>
      <c r="AB163" s="30"/>
      <c r="AC163" s="31">
        <v>2</v>
      </c>
      <c r="AD163" s="53">
        <v>5.8</v>
      </c>
      <c r="AE163" s="30" t="s">
        <v>803</v>
      </c>
      <c r="AF163" s="30" t="str">
        <f ca="1">Sprache!$A$101</f>
        <v>Zestaw (prawy+lewy)</v>
      </c>
      <c r="AG163" s="30" t="s">
        <v>26</v>
      </c>
      <c r="AH163" s="30" t="str">
        <f ca="1">Sprache!$A$118</f>
        <v>Sprężyna pomarańczowa</v>
      </c>
      <c r="AI163" s="30" t="str">
        <f ca="1">Sprache!$A$136</f>
        <v>Adapter do ram aluminiowych, do Kinvaro T-71 zest.</v>
      </c>
      <c r="AJ163" s="243" t="s">
        <v>826</v>
      </c>
      <c r="AK163" s="30">
        <f>'Material+Limits'!$K$9</f>
        <v>200</v>
      </c>
      <c r="AL163" s="28">
        <v>1200</v>
      </c>
      <c r="AM163" s="30"/>
      <c r="AN163" s="28"/>
    </row>
    <row r="164" spans="1:48" x14ac:dyDescent="0.25">
      <c r="A164" t="str">
        <f t="shared" ca="1" si="5"/>
        <v/>
      </c>
      <c r="B164" t="str">
        <f t="shared" ca="1" si="4"/>
        <v/>
      </c>
      <c r="C164" s="79">
        <f>IF('Material+Limits'!$P$8=TRUE,1,0)</f>
        <v>0</v>
      </c>
      <c r="D164" s="39">
        <f>IF(Daten!$O164+Daten!$P164+Daten!$R164=3,1,0)</f>
        <v>0</v>
      </c>
      <c r="E164" s="184">
        <f ca="1">IF(AND('Material+Limits'!$Q$21=TRUE,Daten!N164=1)=TRUE,1,0)</f>
        <v>1</v>
      </c>
      <c r="F164" s="185">
        <f ca="1">IF(AND('Material+Limits'!$Q$25=TRUE,Daten!M164=1)=TRUE,1,0)</f>
        <v>0</v>
      </c>
      <c r="G164" s="185">
        <f ca="1">IF(AND('Material+Limits'!$Q$24=TRUE,Daten!L164=1)=TRUE,1,0)</f>
        <v>0</v>
      </c>
      <c r="H164" s="185">
        <f ca="1">IF(AND('Material+Limits'!$Q$23=TRUE,Daten!K164=1)=TRUE,1,0)</f>
        <v>0</v>
      </c>
      <c r="I164" s="185">
        <f ca="1">IF(AND('Material+Limits'!$Q$22=TRUE,Daten!J164=1)=TRUE,1,0)</f>
        <v>0</v>
      </c>
      <c r="J164" s="158">
        <f ca="1">IF(Daten!$U164=13,1,0)</f>
        <v>0</v>
      </c>
      <c r="K164" s="159">
        <f ca="1">IF(Daten!$U164&lt;&gt;Daten!$V164,1,IF(Daten!$U164=14,1,0))</f>
        <v>0</v>
      </c>
      <c r="L164" s="159">
        <f ca="1">IF(Daten!$U164&lt;&gt;Daten!$V164,1,IF(Daten!$U164=16,1,0))</f>
        <v>0</v>
      </c>
      <c r="M164" s="159">
        <f ca="1">IF(Daten!$V164=17,1,0)</f>
        <v>0</v>
      </c>
      <c r="N164" s="160">
        <f ca="1">IF(Daten!$W164=Sprache!$A$60,1,0)</f>
        <v>1</v>
      </c>
      <c r="O164" s="173">
        <f>IF(AND(Daten!$AK164&lt;=KINVARO!$AW$3,Daten!$AL164&gt;=KINVARO!$AW$3)=TRUE,1,0)</f>
        <v>1</v>
      </c>
      <c r="P164" s="173">
        <f>IF(AND(Daten!$Z164&lt;=KINVARO!$AW$4,Daten!$AA164&gt;=KINVARO!$AW$4)=TRUE,1,0)</f>
        <v>0</v>
      </c>
      <c r="Q164" s="173"/>
      <c r="R164" s="173">
        <f>IF(AND(Daten!$AC164&lt;='Material+Limits'!$I$58,Daten!$AD164&gt;='Material+Limits'!$I$58)=TRUE,1,0)</f>
        <v>0</v>
      </c>
      <c r="S164" s="55">
        <f ca="1">IF(Daten!$X164=Sprache!$A$125,1,0)</f>
        <v>1</v>
      </c>
      <c r="T164" s="56" t="str">
        <f ca="1">Sprache!$A$56</f>
        <v>Podnośnik T-71</v>
      </c>
      <c r="U164" s="55">
        <f ca="1">Sprache!$A$64</f>
        <v>0</v>
      </c>
      <c r="V164" s="38">
        <f ca="1">Sprache!$A$64</f>
        <v>0</v>
      </c>
      <c r="W164" s="56" t="str">
        <f ca="1">Sprache!$A$60</f>
        <v>Front lity (drewno/płyta)</v>
      </c>
      <c r="X164" s="56">
        <f ca="1">Sprache!$A$125</f>
        <v>0</v>
      </c>
      <c r="Y164" s="56" t="str">
        <f ca="1">Sprache!$A$69</f>
        <v>Front</v>
      </c>
      <c r="Z164" s="56">
        <v>500</v>
      </c>
      <c r="AA164" s="57">
        <v>549</v>
      </c>
      <c r="AB164" s="56"/>
      <c r="AC164" s="58">
        <v>1.5</v>
      </c>
      <c r="AD164" s="59">
        <v>4</v>
      </c>
      <c r="AE164" s="56" t="s">
        <v>803</v>
      </c>
      <c r="AF164" s="56" t="str">
        <f ca="1">Sprache!$A$101</f>
        <v>Zestaw (prawy+lewy)</v>
      </c>
      <c r="AG164" s="56" t="s">
        <v>26</v>
      </c>
      <c r="AH164" s="56" t="str">
        <f ca="1">Sprache!$A$117</f>
        <v>Sprężyna biała</v>
      </c>
      <c r="AI164" s="56" t="s">
        <v>26</v>
      </c>
      <c r="AJ164" s="56" t="s">
        <v>26</v>
      </c>
      <c r="AK164" s="56">
        <f>'Material+Limits'!$K$9</f>
        <v>200</v>
      </c>
      <c r="AL164" s="57">
        <v>1200</v>
      </c>
      <c r="AM164" s="30"/>
      <c r="AN164" s="24"/>
      <c r="AO164"/>
      <c r="AR164"/>
      <c r="AS164"/>
      <c r="AT164"/>
      <c r="AU164"/>
      <c r="AV164"/>
    </row>
    <row r="165" spans="1:48" x14ac:dyDescent="0.25">
      <c r="A165" t="str">
        <f t="shared" ca="1" si="5"/>
        <v/>
      </c>
      <c r="B165" t="str">
        <f t="shared" ca="1" si="4"/>
        <v/>
      </c>
      <c r="C165" s="79">
        <f>IF('Material+Limits'!$P$8=TRUE,1,0)</f>
        <v>0</v>
      </c>
      <c r="D165" s="39">
        <f>IF(Daten!$O165+Daten!$P165+Daten!$R165=3,1,0)</f>
        <v>0</v>
      </c>
      <c r="E165" s="184">
        <f ca="1">IF(AND('Material+Limits'!$Q$21=TRUE,Daten!N165=1)=TRUE,1,0)</f>
        <v>1</v>
      </c>
      <c r="F165" s="185">
        <f ca="1">IF(AND('Material+Limits'!$Q$25=TRUE,Daten!M165=1)=TRUE,1,0)</f>
        <v>0</v>
      </c>
      <c r="G165" s="185">
        <f ca="1">IF(AND('Material+Limits'!$Q$24=TRUE,Daten!L165=1)=TRUE,1,0)</f>
        <v>0</v>
      </c>
      <c r="H165" s="185">
        <f ca="1">IF(AND('Material+Limits'!$Q$23=TRUE,Daten!K165=1)=TRUE,1,0)</f>
        <v>0</v>
      </c>
      <c r="I165" s="185">
        <f ca="1">IF(AND('Material+Limits'!$Q$22=TRUE,Daten!J165=1)=TRUE,1,0)</f>
        <v>0</v>
      </c>
      <c r="J165" s="155">
        <f ca="1">IF(Daten!$U165=13,1,0)</f>
        <v>0</v>
      </c>
      <c r="K165" s="156">
        <f ca="1">IF(Daten!$U165&lt;&gt;Daten!$V165,1,IF(Daten!$U165=14,1,0))</f>
        <v>0</v>
      </c>
      <c r="L165" s="156">
        <f ca="1">IF(Daten!$U165&lt;&gt;Daten!$V165,1,IF(Daten!$U165=16,1,0))</f>
        <v>0</v>
      </c>
      <c r="M165" s="156">
        <f ca="1">IF(Daten!$V165=17,1,0)</f>
        <v>0</v>
      </c>
      <c r="N165" s="157">
        <f ca="1">IF(Daten!$W165=Sprache!$A$60,1,0)</f>
        <v>1</v>
      </c>
      <c r="O165" s="169">
        <f>IF(AND(Daten!$AK165&lt;=KINVARO!$AW$3,Daten!$AL165&gt;=KINVARO!$AW$3)=TRUE,1,0)</f>
        <v>1</v>
      </c>
      <c r="P165" s="169">
        <f>IF(AND(Daten!$Z165&lt;=KINVARO!$AW$4,Daten!$AA165&gt;=KINVARO!$AW$4)=TRUE,1,0)</f>
        <v>0</v>
      </c>
      <c r="Q165" s="169"/>
      <c r="R165" s="169">
        <f>IF(AND(Daten!$AC165&lt;='Material+Limits'!$I$58,Daten!$AD165&gt;='Material+Limits'!$I$58)=TRUE,1,0)</f>
        <v>0</v>
      </c>
      <c r="S165" s="32">
        <f ca="1">IF(Daten!$X165=Sprache!$A$125,1,0)</f>
        <v>1</v>
      </c>
      <c r="T165" s="30" t="str">
        <f ca="1">Sprache!$A$56</f>
        <v>Podnośnik T-71</v>
      </c>
      <c r="U165" s="32">
        <f ca="1">Sprache!$A$64</f>
        <v>0</v>
      </c>
      <c r="V165" s="29">
        <f ca="1">Sprache!$A$64</f>
        <v>0</v>
      </c>
      <c r="W165" s="30" t="str">
        <f ca="1">Sprache!$A$60</f>
        <v>Front lity (drewno/płyta)</v>
      </c>
      <c r="X165" s="30">
        <f ca="1">Sprache!$A$125</f>
        <v>0</v>
      </c>
      <c r="Y165" s="30" t="str">
        <f ca="1">Sprache!$A$69</f>
        <v>Front</v>
      </c>
      <c r="Z165" s="30">
        <v>500</v>
      </c>
      <c r="AA165" s="28">
        <v>549</v>
      </c>
      <c r="AB165" s="30"/>
      <c r="AC165" s="31">
        <v>1.8</v>
      </c>
      <c r="AD165" s="53">
        <v>5</v>
      </c>
      <c r="AE165" s="30" t="s">
        <v>803</v>
      </c>
      <c r="AF165" s="30" t="str">
        <f ca="1">Sprache!$A$101</f>
        <v>Zestaw (prawy+lewy)</v>
      </c>
      <c r="AG165" s="30" t="s">
        <v>26</v>
      </c>
      <c r="AH165" s="30" t="str">
        <f ca="1">Sprache!$A$118</f>
        <v>Sprężyna pomarańczowa</v>
      </c>
      <c r="AI165" s="30" t="s">
        <v>26</v>
      </c>
      <c r="AJ165" s="30" t="s">
        <v>26</v>
      </c>
      <c r="AK165" s="30">
        <f>'Material+Limits'!$K$9</f>
        <v>200</v>
      </c>
      <c r="AL165" s="28">
        <v>1200</v>
      </c>
      <c r="AM165" s="30"/>
      <c r="AN165" s="28"/>
      <c r="AO165"/>
      <c r="AR165"/>
      <c r="AS165"/>
      <c r="AT165"/>
      <c r="AU165"/>
      <c r="AV165"/>
    </row>
    <row r="166" spans="1:48" x14ac:dyDescent="0.25">
      <c r="A166" t="str">
        <f t="shared" ca="1" si="5"/>
        <v/>
      </c>
      <c r="B166" t="str">
        <f t="shared" ca="1" si="4"/>
        <v/>
      </c>
      <c r="C166" s="79">
        <f>IF('Material+Limits'!$P$8=TRUE,1,0)</f>
        <v>0</v>
      </c>
      <c r="D166" s="39">
        <f>IF(Daten!$O166+Daten!$P166+Daten!$R166=3,1,0)</f>
        <v>0</v>
      </c>
      <c r="E166" s="184">
        <f ca="1">IF(AND('Material+Limits'!$Q$21=TRUE,Daten!N166=1)=TRUE,1,0)</f>
        <v>0</v>
      </c>
      <c r="F166" s="185">
        <f>IF(AND('Material+Limits'!$Q$25=TRUE,Daten!M166=1)=TRUE,1,0)</f>
        <v>0</v>
      </c>
      <c r="G166" s="185">
        <f>IF(AND('Material+Limits'!$Q$24=TRUE,Daten!L166=1)=TRUE,1,0)</f>
        <v>0</v>
      </c>
      <c r="H166" s="185">
        <f>IF(AND('Material+Limits'!$Q$23=TRUE,Daten!K166=1)=TRUE,1,0)</f>
        <v>0</v>
      </c>
      <c r="I166" s="185">
        <f>IF(AND('Material+Limits'!$Q$22=TRUE,Daten!J166=1)=TRUE,1,0)</f>
        <v>0</v>
      </c>
      <c r="J166" s="158">
        <f>IF(Daten!$U166=13,1,0)</f>
        <v>1</v>
      </c>
      <c r="K166" s="159">
        <f>IF(Daten!$U166&lt;&gt;Daten!$V166,1,IF(Daten!$U166=14,1,0))</f>
        <v>1</v>
      </c>
      <c r="L166" s="159">
        <f>IF(Daten!$U166&lt;&gt;Daten!$V166,1,IF(Daten!$U166=16,1,0))</f>
        <v>1</v>
      </c>
      <c r="M166" s="159">
        <f>IF(Daten!$V166=17,1,0)</f>
        <v>1</v>
      </c>
      <c r="N166" s="160">
        <f ca="1">IF(Daten!$W166=Sprache!$A$60,1,0)</f>
        <v>0</v>
      </c>
      <c r="O166" s="171">
        <f>IF(AND(Daten!$AK166&lt;=KINVARO!$AW$3,Daten!$AL166&gt;=KINVARO!$AW$3)=TRUE,1,0)</f>
        <v>1</v>
      </c>
      <c r="P166" s="171">
        <f>IF(AND(Daten!$Z166&lt;=KINVARO!$AW$4,Daten!$AA166&gt;=KINVARO!$AW$4)=TRUE,1,0)</f>
        <v>0</v>
      </c>
      <c r="Q166" s="171"/>
      <c r="R166" s="171">
        <f>IF(AND(Daten!$AC166&lt;='Material+Limits'!$I$58,Daten!$AD166&gt;='Material+Limits'!$I$58)=TRUE,1,0)</f>
        <v>0</v>
      </c>
      <c r="S166" s="27">
        <f ca="1">IF(Daten!$X166=Sprache!$A$125,1,0)</f>
        <v>1</v>
      </c>
      <c r="T166" s="25" t="str">
        <f ca="1">Sprache!$A$56</f>
        <v>Podnośnik T-71</v>
      </c>
      <c r="U166" s="27">
        <v>13</v>
      </c>
      <c r="V166" s="23">
        <v>17</v>
      </c>
      <c r="W166" s="25">
        <f ca="1">Sprache!$A$132</f>
        <v>0</v>
      </c>
      <c r="X166" s="25">
        <f ca="1">Sprache!$A$125</f>
        <v>0</v>
      </c>
      <c r="Y166" s="25" t="str">
        <f ca="1">Sprache!$A$69</f>
        <v>Front</v>
      </c>
      <c r="Z166" s="25">
        <v>500</v>
      </c>
      <c r="AA166" s="24">
        <v>549</v>
      </c>
      <c r="AB166" s="25"/>
      <c r="AC166" s="26">
        <v>1.5</v>
      </c>
      <c r="AD166" s="54">
        <v>4</v>
      </c>
      <c r="AE166" s="25" t="s">
        <v>803</v>
      </c>
      <c r="AF166" s="25" t="str">
        <f ca="1">Sprache!$A$101</f>
        <v>Zestaw (prawy+lewy)</v>
      </c>
      <c r="AG166" s="25" t="s">
        <v>26</v>
      </c>
      <c r="AH166" s="25" t="str">
        <f ca="1">Sprache!$A$117</f>
        <v>Sprężyna biała</v>
      </c>
      <c r="AI166" s="25" t="str">
        <f ca="1">Sprache!$A$136</f>
        <v>Adapter do ram aluminiowych, do Kinvaro T-71 zest.</v>
      </c>
      <c r="AJ166" s="242" t="s">
        <v>826</v>
      </c>
      <c r="AK166" s="25">
        <f>'Material+Limits'!$K$9</f>
        <v>200</v>
      </c>
      <c r="AL166" s="24">
        <v>1200</v>
      </c>
      <c r="AM166" s="30"/>
      <c r="AN166" s="24"/>
      <c r="AO166"/>
      <c r="AR166"/>
      <c r="AS166"/>
      <c r="AT166"/>
      <c r="AU166"/>
      <c r="AV166"/>
    </row>
    <row r="167" spans="1:48" s="5" customFormat="1" x14ac:dyDescent="0.25">
      <c r="A167" t="str">
        <f t="shared" ca="1" si="5"/>
        <v/>
      </c>
      <c r="B167" t="str">
        <f t="shared" ca="1" si="4"/>
        <v/>
      </c>
      <c r="C167" s="79">
        <f>IF('Material+Limits'!$P$8=TRUE,1,0)</f>
        <v>0</v>
      </c>
      <c r="D167" s="39">
        <f>IF(Daten!$O167+Daten!$P167+Daten!$R167=3,1,0)</f>
        <v>0</v>
      </c>
      <c r="E167" s="184">
        <f ca="1">IF(AND('Material+Limits'!$Q$21=TRUE,Daten!N167=1)=TRUE,1,0)</f>
        <v>0</v>
      </c>
      <c r="F167" s="185">
        <f>IF(AND('Material+Limits'!$Q$25=TRUE,Daten!M167=1)=TRUE,1,0)</f>
        <v>0</v>
      </c>
      <c r="G167" s="185">
        <f>IF(AND('Material+Limits'!$Q$24=TRUE,Daten!L167=1)=TRUE,1,0)</f>
        <v>0</v>
      </c>
      <c r="H167" s="185">
        <f>IF(AND('Material+Limits'!$Q$23=TRUE,Daten!K167=1)=TRUE,1,0)</f>
        <v>0</v>
      </c>
      <c r="I167" s="185">
        <f>IF(AND('Material+Limits'!$Q$22=TRUE,Daten!J167=1)=TRUE,1,0)</f>
        <v>0</v>
      </c>
      <c r="J167" s="155">
        <f>IF(Daten!$U167=13,1,0)</f>
        <v>1</v>
      </c>
      <c r="K167" s="156">
        <f>IF(Daten!$U167&lt;&gt;Daten!$V167,1,IF(Daten!$U167=14,1,0))</f>
        <v>1</v>
      </c>
      <c r="L167" s="156">
        <f>IF(Daten!$U167&lt;&gt;Daten!$V167,1,IF(Daten!$U167=16,1,0))</f>
        <v>1</v>
      </c>
      <c r="M167" s="156">
        <f>IF(Daten!$V167=17,1,0)</f>
        <v>1</v>
      </c>
      <c r="N167" s="157">
        <f ca="1">IF(Daten!$W167=Sprache!$A$60,1,0)</f>
        <v>0</v>
      </c>
      <c r="O167" s="169">
        <f>IF(AND(Daten!$AK167&lt;=KINVARO!$AW$3,Daten!$AL167&gt;=KINVARO!$AW$3)=TRUE,1,0)</f>
        <v>1</v>
      </c>
      <c r="P167" s="169">
        <f>IF(AND(Daten!$Z167&lt;=KINVARO!$AW$4,Daten!$AA167&gt;=KINVARO!$AW$4)=TRUE,1,0)</f>
        <v>0</v>
      </c>
      <c r="Q167" s="169"/>
      <c r="R167" s="169">
        <f>IF(AND(Daten!$AC167&lt;='Material+Limits'!$I$58,Daten!$AD167&gt;='Material+Limits'!$I$58)=TRUE,1,0)</f>
        <v>0</v>
      </c>
      <c r="S167" s="32">
        <f ca="1">IF(Daten!$X167=Sprache!$A$125,1,0)</f>
        <v>1</v>
      </c>
      <c r="T167" s="30" t="str">
        <f ca="1">Sprache!$A$56</f>
        <v>Podnośnik T-71</v>
      </c>
      <c r="U167" s="32">
        <v>13</v>
      </c>
      <c r="V167" s="29">
        <v>17</v>
      </c>
      <c r="W167" s="30">
        <f ca="1">Sprache!$A$132</f>
        <v>0</v>
      </c>
      <c r="X167" s="30">
        <f ca="1">Sprache!$A$125</f>
        <v>0</v>
      </c>
      <c r="Y167" s="30" t="str">
        <f ca="1">Sprache!$A$69</f>
        <v>Front</v>
      </c>
      <c r="Z167" s="30">
        <v>500</v>
      </c>
      <c r="AA167" s="28">
        <v>549</v>
      </c>
      <c r="AB167" s="30"/>
      <c r="AC167" s="31">
        <v>1.8</v>
      </c>
      <c r="AD167" s="53">
        <v>5</v>
      </c>
      <c r="AE167" s="30" t="s">
        <v>803</v>
      </c>
      <c r="AF167" s="30" t="str">
        <f ca="1">Sprache!$A$101</f>
        <v>Zestaw (prawy+lewy)</v>
      </c>
      <c r="AG167" s="30" t="s">
        <v>26</v>
      </c>
      <c r="AH167" s="30" t="str">
        <f ca="1">Sprache!$A$118</f>
        <v>Sprężyna pomarańczowa</v>
      </c>
      <c r="AI167" s="30" t="str">
        <f ca="1">Sprache!$A$136</f>
        <v>Adapter do ram aluminiowych, do Kinvaro T-71 zest.</v>
      </c>
      <c r="AJ167" s="243" t="s">
        <v>826</v>
      </c>
      <c r="AK167" s="30">
        <f>'Material+Limits'!$K$9</f>
        <v>200</v>
      </c>
      <c r="AL167" s="28">
        <v>1200</v>
      </c>
      <c r="AM167" s="30"/>
      <c r="AN167" s="28"/>
    </row>
    <row r="168" spans="1:48" x14ac:dyDescent="0.25">
      <c r="A168" t="str">
        <f t="shared" ca="1" si="5"/>
        <v/>
      </c>
      <c r="B168" t="str">
        <f t="shared" ca="1" si="4"/>
        <v/>
      </c>
      <c r="C168" s="79">
        <f>IF('Material+Limits'!$P$8=TRUE,1,0)</f>
        <v>0</v>
      </c>
      <c r="D168" s="39">
        <f>IF(Daten!$O168+Daten!$P168+Daten!$R168=3,1,0)</f>
        <v>0</v>
      </c>
      <c r="E168" s="184">
        <f ca="1">IF(AND('Material+Limits'!$Q$21=TRUE,Daten!N168=1)=TRUE,1,0)</f>
        <v>1</v>
      </c>
      <c r="F168" s="185">
        <f ca="1">IF(AND('Material+Limits'!$Q$25=TRUE,Daten!M168=1)=TRUE,1,0)</f>
        <v>0</v>
      </c>
      <c r="G168" s="185">
        <f ca="1">IF(AND('Material+Limits'!$Q$24=TRUE,Daten!L168=1)=TRUE,1,0)</f>
        <v>0</v>
      </c>
      <c r="H168" s="185">
        <f ca="1">IF(AND('Material+Limits'!$Q$23=TRUE,Daten!K168=1)=TRUE,1,0)</f>
        <v>0</v>
      </c>
      <c r="I168" s="185">
        <f ca="1">IF(AND('Material+Limits'!$Q$22=TRUE,Daten!J168=1)=TRUE,1,0)</f>
        <v>0</v>
      </c>
      <c r="J168" s="158">
        <f ca="1">IF(Daten!$U168=13,1,0)</f>
        <v>0</v>
      </c>
      <c r="K168" s="159">
        <f ca="1">IF(Daten!$U168&lt;&gt;Daten!$V168,1,IF(Daten!$U168=14,1,0))</f>
        <v>0</v>
      </c>
      <c r="L168" s="159">
        <f ca="1">IF(Daten!$U168&lt;&gt;Daten!$V168,1,IF(Daten!$U168=16,1,0))</f>
        <v>0</v>
      </c>
      <c r="M168" s="159">
        <f ca="1">IF(Daten!$V168=17,1,0)</f>
        <v>0</v>
      </c>
      <c r="N168" s="160">
        <f ca="1">IF(Daten!$W168=Sprache!$A$60,1,0)</f>
        <v>1</v>
      </c>
      <c r="O168" s="173">
        <f>IF(AND(Daten!$AK168&lt;=KINVARO!$AW$3,Daten!$AL168&gt;=KINVARO!$AW$3)=TRUE,1,0)</f>
        <v>1</v>
      </c>
      <c r="P168" s="173">
        <f>IF(AND(Daten!$Z168&lt;=KINVARO!$AW$4,Daten!$AA168&gt;=KINVARO!$AW$4)=TRUE,1,0)</f>
        <v>1</v>
      </c>
      <c r="Q168" s="173"/>
      <c r="R168" s="173">
        <f>IF(AND(Daten!$AC168&lt;='Material+Limits'!$I$58,Daten!$AD168&gt;='Material+Limits'!$I$58)=TRUE,1,0)</f>
        <v>0</v>
      </c>
      <c r="S168" s="55">
        <f ca="1">IF(Daten!$X168=Sprache!$A$125,1,0)</f>
        <v>1</v>
      </c>
      <c r="T168" s="56" t="str">
        <f ca="1">Sprache!$A$56</f>
        <v>Podnośnik T-71</v>
      </c>
      <c r="U168" s="55">
        <f ca="1">Sprache!$A$64</f>
        <v>0</v>
      </c>
      <c r="V168" s="38">
        <f ca="1">Sprache!$A$64</f>
        <v>0</v>
      </c>
      <c r="W168" s="56" t="str">
        <f ca="1">Sprache!$A$60</f>
        <v>Front lity (drewno/płyta)</v>
      </c>
      <c r="X168" s="56">
        <f ca="1">Sprache!$A$125</f>
        <v>0</v>
      </c>
      <c r="Y168" s="56" t="str">
        <f ca="1">Sprache!$A$69</f>
        <v>Front</v>
      </c>
      <c r="Z168" s="56">
        <v>550</v>
      </c>
      <c r="AA168" s="57">
        <v>599</v>
      </c>
      <c r="AB168" s="56"/>
      <c r="AC168" s="58">
        <v>1.4</v>
      </c>
      <c r="AD168" s="59">
        <v>3.7</v>
      </c>
      <c r="AE168" s="56" t="s">
        <v>803</v>
      </c>
      <c r="AF168" s="56" t="str">
        <f ca="1">Sprache!$A$101</f>
        <v>Zestaw (prawy+lewy)</v>
      </c>
      <c r="AG168" s="56" t="s">
        <v>26</v>
      </c>
      <c r="AH168" s="56" t="str">
        <f ca="1">Sprache!$A$117</f>
        <v>Sprężyna biała</v>
      </c>
      <c r="AI168" s="56" t="s">
        <v>26</v>
      </c>
      <c r="AJ168" s="56" t="s">
        <v>26</v>
      </c>
      <c r="AK168" s="56">
        <f>'Material+Limits'!$K$9</f>
        <v>200</v>
      </c>
      <c r="AL168" s="57">
        <v>1200</v>
      </c>
      <c r="AM168" s="30"/>
      <c r="AN168" s="24"/>
      <c r="AO168"/>
      <c r="AR168"/>
      <c r="AS168"/>
      <c r="AT168"/>
      <c r="AU168"/>
      <c r="AV168"/>
    </row>
    <row r="169" spans="1:48" x14ac:dyDescent="0.25">
      <c r="A169" t="str">
        <f t="shared" ca="1" si="5"/>
        <v/>
      </c>
      <c r="B169" t="str">
        <f t="shared" ca="1" si="4"/>
        <v/>
      </c>
      <c r="C169" s="79">
        <f>IF('Material+Limits'!$P$8=TRUE,1,0)</f>
        <v>0</v>
      </c>
      <c r="D169" s="39">
        <f>IF(Daten!$O169+Daten!$P169+Daten!$R169=3,1,0)</f>
        <v>0</v>
      </c>
      <c r="E169" s="184">
        <f ca="1">IF(AND('Material+Limits'!$Q$21=TRUE,Daten!N169=1)=TRUE,1,0)</f>
        <v>1</v>
      </c>
      <c r="F169" s="185">
        <f ca="1">IF(AND('Material+Limits'!$Q$25=TRUE,Daten!M169=1)=TRUE,1,0)</f>
        <v>0</v>
      </c>
      <c r="G169" s="185">
        <f ca="1">IF(AND('Material+Limits'!$Q$24=TRUE,Daten!L169=1)=TRUE,1,0)</f>
        <v>0</v>
      </c>
      <c r="H169" s="185">
        <f ca="1">IF(AND('Material+Limits'!$Q$23=TRUE,Daten!K169=1)=TRUE,1,0)</f>
        <v>0</v>
      </c>
      <c r="I169" s="185">
        <f ca="1">IF(AND('Material+Limits'!$Q$22=TRUE,Daten!J169=1)=TRUE,1,0)</f>
        <v>0</v>
      </c>
      <c r="J169" s="155">
        <f ca="1">IF(Daten!$U169=13,1,0)</f>
        <v>0</v>
      </c>
      <c r="K169" s="156">
        <f ca="1">IF(Daten!$U169&lt;&gt;Daten!$V169,1,IF(Daten!$U169=14,1,0))</f>
        <v>0</v>
      </c>
      <c r="L169" s="156">
        <f ca="1">IF(Daten!$U169&lt;&gt;Daten!$V169,1,IF(Daten!$U169=16,1,0))</f>
        <v>0</v>
      </c>
      <c r="M169" s="156">
        <f ca="1">IF(Daten!$V169=17,1,0)</f>
        <v>0</v>
      </c>
      <c r="N169" s="157">
        <f ca="1">IF(Daten!$W169=Sprache!$A$60,1,0)</f>
        <v>1</v>
      </c>
      <c r="O169" s="169">
        <f>IF(AND(Daten!$AK169&lt;=KINVARO!$AW$3,Daten!$AL169&gt;=KINVARO!$AW$3)=TRUE,1,0)</f>
        <v>1</v>
      </c>
      <c r="P169" s="169">
        <f>IF(AND(Daten!$Z169&lt;=KINVARO!$AW$4,Daten!$AA169&gt;=KINVARO!$AW$4)=TRUE,1,0)</f>
        <v>1</v>
      </c>
      <c r="Q169" s="169"/>
      <c r="R169" s="169">
        <f>IF(AND(Daten!$AC169&lt;='Material+Limits'!$I$58,Daten!$AD169&gt;='Material+Limits'!$I$58)=TRUE,1,0)</f>
        <v>0</v>
      </c>
      <c r="S169" s="32">
        <f ca="1">IF(Daten!$X169=Sprache!$A$125,1,0)</f>
        <v>1</v>
      </c>
      <c r="T169" s="30" t="str">
        <f ca="1">Sprache!$A$56</f>
        <v>Podnośnik T-71</v>
      </c>
      <c r="U169" s="32">
        <f ca="1">Sprache!$A$64</f>
        <v>0</v>
      </c>
      <c r="V169" s="29">
        <f ca="1">Sprache!$A$64</f>
        <v>0</v>
      </c>
      <c r="W169" s="30" t="str">
        <f ca="1">Sprache!$A$60</f>
        <v>Front lity (drewno/płyta)</v>
      </c>
      <c r="X169" s="30">
        <f ca="1">Sprache!$A$125</f>
        <v>0</v>
      </c>
      <c r="Y169" s="30" t="str">
        <f ca="1">Sprache!$A$69</f>
        <v>Front</v>
      </c>
      <c r="Z169" s="30">
        <v>550</v>
      </c>
      <c r="AA169" s="28">
        <v>599</v>
      </c>
      <c r="AB169" s="30"/>
      <c r="AC169" s="31">
        <v>1.6</v>
      </c>
      <c r="AD169" s="53">
        <v>4.5999999999999996</v>
      </c>
      <c r="AE169" s="30" t="s">
        <v>803</v>
      </c>
      <c r="AF169" s="30" t="str">
        <f ca="1">Sprache!$A$101</f>
        <v>Zestaw (prawy+lewy)</v>
      </c>
      <c r="AG169" s="30" t="s">
        <v>26</v>
      </c>
      <c r="AH169" s="30" t="str">
        <f ca="1">Sprache!$A$118</f>
        <v>Sprężyna pomarańczowa</v>
      </c>
      <c r="AI169" s="30" t="s">
        <v>26</v>
      </c>
      <c r="AJ169" s="30" t="s">
        <v>26</v>
      </c>
      <c r="AK169" s="30">
        <f>'Material+Limits'!$K$9</f>
        <v>200</v>
      </c>
      <c r="AL169" s="28">
        <v>1200</v>
      </c>
      <c r="AM169" s="30"/>
      <c r="AN169" s="28"/>
      <c r="AO169"/>
      <c r="AR169"/>
      <c r="AS169"/>
      <c r="AT169"/>
      <c r="AU169"/>
      <c r="AV169"/>
    </row>
    <row r="170" spans="1:48" x14ac:dyDescent="0.25">
      <c r="A170" t="str">
        <f t="shared" ca="1" si="5"/>
        <v/>
      </c>
      <c r="B170" t="str">
        <f t="shared" ca="1" si="4"/>
        <v/>
      </c>
      <c r="C170" s="79">
        <f>IF('Material+Limits'!$P$8=TRUE,1,0)</f>
        <v>0</v>
      </c>
      <c r="D170" s="39">
        <f>IF(Daten!$O170+Daten!$P170+Daten!$R170=3,1,0)</f>
        <v>0</v>
      </c>
      <c r="E170" s="184">
        <f ca="1">IF(AND('Material+Limits'!$Q$21=TRUE,Daten!N170=1)=TRUE,1,0)</f>
        <v>0</v>
      </c>
      <c r="F170" s="185">
        <f>IF(AND('Material+Limits'!$Q$25=TRUE,Daten!M170=1)=TRUE,1,0)</f>
        <v>0</v>
      </c>
      <c r="G170" s="185">
        <f>IF(AND('Material+Limits'!$Q$24=TRUE,Daten!L170=1)=TRUE,1,0)</f>
        <v>0</v>
      </c>
      <c r="H170" s="185">
        <f>IF(AND('Material+Limits'!$Q$23=TRUE,Daten!K170=1)=TRUE,1,0)</f>
        <v>0</v>
      </c>
      <c r="I170" s="185">
        <f>IF(AND('Material+Limits'!$Q$22=TRUE,Daten!J170=1)=TRUE,1,0)</f>
        <v>0</v>
      </c>
      <c r="J170" s="158">
        <f>IF(Daten!$U170=13,1,0)</f>
        <v>1</v>
      </c>
      <c r="K170" s="159">
        <f>IF(Daten!$U170&lt;&gt;Daten!$V170,1,IF(Daten!$U170=14,1,0))</f>
        <v>1</v>
      </c>
      <c r="L170" s="159">
        <f>IF(Daten!$U170&lt;&gt;Daten!$V170,1,IF(Daten!$U170=16,1,0))</f>
        <v>1</v>
      </c>
      <c r="M170" s="159">
        <f>IF(Daten!$V170=17,1,0)</f>
        <v>1</v>
      </c>
      <c r="N170" s="160">
        <f ca="1">IF(Daten!$W170=Sprache!$A$60,1,0)</f>
        <v>0</v>
      </c>
      <c r="O170" s="171">
        <f>IF(AND(Daten!$AK170&lt;=KINVARO!$AW$3,Daten!$AL170&gt;=KINVARO!$AW$3)=TRUE,1,0)</f>
        <v>1</v>
      </c>
      <c r="P170" s="171">
        <f>IF(AND(Daten!$Z170&lt;=KINVARO!$AW$4,Daten!$AA170&gt;=KINVARO!$AW$4)=TRUE,1,0)</f>
        <v>1</v>
      </c>
      <c r="Q170" s="171"/>
      <c r="R170" s="171">
        <f>IF(AND(Daten!$AC170&lt;='Material+Limits'!$I$58,Daten!$AD170&gt;='Material+Limits'!$I$58)=TRUE,1,0)</f>
        <v>0</v>
      </c>
      <c r="S170" s="27">
        <f ca="1">IF(Daten!$X170=Sprache!$A$125,1,0)</f>
        <v>1</v>
      </c>
      <c r="T170" s="25" t="str">
        <f ca="1">Sprache!$A$56</f>
        <v>Podnośnik T-71</v>
      </c>
      <c r="U170" s="27">
        <v>13</v>
      </c>
      <c r="V170" s="23">
        <v>17</v>
      </c>
      <c r="W170" s="25">
        <f ca="1">Sprache!$A$132</f>
        <v>0</v>
      </c>
      <c r="X170" s="25">
        <f ca="1">Sprache!$A$125</f>
        <v>0</v>
      </c>
      <c r="Y170" s="25" t="str">
        <f ca="1">Sprache!$A$69</f>
        <v>Front</v>
      </c>
      <c r="Z170" s="25">
        <v>550</v>
      </c>
      <c r="AA170" s="24">
        <v>599</v>
      </c>
      <c r="AB170" s="25"/>
      <c r="AC170" s="26">
        <v>1.4</v>
      </c>
      <c r="AD170" s="54">
        <v>3.7</v>
      </c>
      <c r="AE170" s="25" t="s">
        <v>803</v>
      </c>
      <c r="AF170" s="25" t="str">
        <f ca="1">Sprache!$A$101</f>
        <v>Zestaw (prawy+lewy)</v>
      </c>
      <c r="AG170" s="25" t="s">
        <v>26</v>
      </c>
      <c r="AH170" s="25" t="str">
        <f ca="1">Sprache!$A$117</f>
        <v>Sprężyna biała</v>
      </c>
      <c r="AI170" s="25" t="str">
        <f ca="1">Sprache!$A$136</f>
        <v>Adapter do ram aluminiowych, do Kinvaro T-71 zest.</v>
      </c>
      <c r="AJ170" s="242" t="s">
        <v>826</v>
      </c>
      <c r="AK170" s="25">
        <f>'Material+Limits'!$K$9</f>
        <v>200</v>
      </c>
      <c r="AL170" s="24">
        <v>1200</v>
      </c>
      <c r="AM170" s="30"/>
      <c r="AN170" s="24"/>
      <c r="AO170"/>
      <c r="AR170"/>
      <c r="AS170"/>
      <c r="AT170"/>
      <c r="AU170"/>
      <c r="AV170"/>
    </row>
    <row r="171" spans="1:48" s="5" customFormat="1" x14ac:dyDescent="0.25">
      <c r="A171" t="str">
        <f t="shared" ca="1" si="5"/>
        <v/>
      </c>
      <c r="B171" t="str">
        <f t="shared" ca="1" si="4"/>
        <v/>
      </c>
      <c r="C171" s="79">
        <f>IF('Material+Limits'!$P$8=TRUE,1,0)</f>
        <v>0</v>
      </c>
      <c r="D171" s="39">
        <f>IF(Daten!$O171+Daten!$P171+Daten!$R171=3,1,0)</f>
        <v>0</v>
      </c>
      <c r="E171" s="184">
        <f ca="1">IF(AND('Material+Limits'!$Q$21=TRUE,Daten!N171=1)=TRUE,1,0)</f>
        <v>0</v>
      </c>
      <c r="F171" s="185">
        <f>IF(AND('Material+Limits'!$Q$25=TRUE,Daten!M171=1)=TRUE,1,0)</f>
        <v>0</v>
      </c>
      <c r="G171" s="185">
        <f>IF(AND('Material+Limits'!$Q$24=TRUE,Daten!L171=1)=TRUE,1,0)</f>
        <v>0</v>
      </c>
      <c r="H171" s="185">
        <f>IF(AND('Material+Limits'!$Q$23=TRUE,Daten!K171=1)=TRUE,1,0)</f>
        <v>0</v>
      </c>
      <c r="I171" s="185">
        <f>IF(AND('Material+Limits'!$Q$22=TRUE,Daten!J171=1)=TRUE,1,0)</f>
        <v>0</v>
      </c>
      <c r="J171" s="155">
        <f>IF(Daten!$U171=13,1,0)</f>
        <v>1</v>
      </c>
      <c r="K171" s="156">
        <f>IF(Daten!$U171&lt;&gt;Daten!$V171,1,IF(Daten!$U171=14,1,0))</f>
        <v>1</v>
      </c>
      <c r="L171" s="156">
        <f>IF(Daten!$U171&lt;&gt;Daten!$V171,1,IF(Daten!$U171=16,1,0))</f>
        <v>1</v>
      </c>
      <c r="M171" s="156">
        <f>IF(Daten!$V171=17,1,0)</f>
        <v>1</v>
      </c>
      <c r="N171" s="157">
        <f ca="1">IF(Daten!$W171=Sprache!$A$60,1,0)</f>
        <v>0</v>
      </c>
      <c r="O171" s="169">
        <f>IF(AND(Daten!$AK171&lt;=KINVARO!$AW$3,Daten!$AL171&gt;=KINVARO!$AW$3)=TRUE,1,0)</f>
        <v>1</v>
      </c>
      <c r="P171" s="169">
        <f>IF(AND(Daten!$Z171&lt;=KINVARO!$AW$4,Daten!$AA171&gt;=KINVARO!$AW$4)=TRUE,1,0)</f>
        <v>1</v>
      </c>
      <c r="Q171" s="169"/>
      <c r="R171" s="169">
        <f>IF(AND(Daten!$AC171&lt;='Material+Limits'!$I$58,Daten!$AD171&gt;='Material+Limits'!$I$58)=TRUE,1,0)</f>
        <v>0</v>
      </c>
      <c r="S171" s="32">
        <f ca="1">IF(Daten!$X171=Sprache!$A$125,1,0)</f>
        <v>1</v>
      </c>
      <c r="T171" s="30" t="str">
        <f ca="1">Sprache!$A$56</f>
        <v>Podnośnik T-71</v>
      </c>
      <c r="U171" s="32">
        <v>13</v>
      </c>
      <c r="V171" s="29">
        <v>17</v>
      </c>
      <c r="W171" s="30">
        <f ca="1">Sprache!$A$132</f>
        <v>0</v>
      </c>
      <c r="X171" s="30">
        <f ca="1">Sprache!$A$125</f>
        <v>0</v>
      </c>
      <c r="Y171" s="30" t="str">
        <f ca="1">Sprache!$A$69</f>
        <v>Front</v>
      </c>
      <c r="Z171" s="30">
        <v>550</v>
      </c>
      <c r="AA171" s="28">
        <v>599</v>
      </c>
      <c r="AB171" s="30"/>
      <c r="AC171" s="31">
        <v>1.6</v>
      </c>
      <c r="AD171" s="53">
        <v>4.5999999999999996</v>
      </c>
      <c r="AE171" s="30" t="s">
        <v>803</v>
      </c>
      <c r="AF171" s="30" t="str">
        <f ca="1">Sprache!$A$101</f>
        <v>Zestaw (prawy+lewy)</v>
      </c>
      <c r="AG171" s="30" t="s">
        <v>26</v>
      </c>
      <c r="AH171" s="30" t="str">
        <f ca="1">Sprache!$A$118</f>
        <v>Sprężyna pomarańczowa</v>
      </c>
      <c r="AI171" s="30" t="str">
        <f ca="1">Sprache!$A$136</f>
        <v>Adapter do ram aluminiowych, do Kinvaro T-71 zest.</v>
      </c>
      <c r="AJ171" s="243" t="s">
        <v>826</v>
      </c>
      <c r="AK171" s="30">
        <f>'Material+Limits'!$K$9</f>
        <v>200</v>
      </c>
      <c r="AL171" s="28">
        <v>1200</v>
      </c>
      <c r="AM171" s="30"/>
      <c r="AN171" s="28"/>
    </row>
    <row r="172" spans="1:48" x14ac:dyDescent="0.25">
      <c r="A172" t="str">
        <f t="shared" ca="1" si="5"/>
        <v/>
      </c>
      <c r="B172" t="str">
        <f t="shared" ca="1" si="4"/>
        <v/>
      </c>
      <c r="C172" s="79">
        <f>IF('Material+Limits'!$P$8=TRUE,1,0)</f>
        <v>0</v>
      </c>
      <c r="D172" s="39">
        <f>IF(Daten!$O172+Daten!$P172+Daten!$R172=3,1,0)</f>
        <v>0</v>
      </c>
      <c r="E172" s="184">
        <f ca="1">IF(AND('Material+Limits'!$Q$21=TRUE,Daten!N172=1)=TRUE,1,0)</f>
        <v>1</v>
      </c>
      <c r="F172" s="185">
        <f ca="1">IF(AND('Material+Limits'!$Q$25=TRUE,Daten!M172=1)=TRUE,1,0)</f>
        <v>0</v>
      </c>
      <c r="G172" s="185">
        <f ca="1">IF(AND('Material+Limits'!$Q$24=TRUE,Daten!L172=1)=TRUE,1,0)</f>
        <v>0</v>
      </c>
      <c r="H172" s="185">
        <f ca="1">IF(AND('Material+Limits'!$Q$23=TRUE,Daten!K172=1)=TRUE,1,0)</f>
        <v>0</v>
      </c>
      <c r="I172" s="185">
        <f ca="1">IF(AND('Material+Limits'!$Q$22=TRUE,Daten!J172=1)=TRUE,1,0)</f>
        <v>0</v>
      </c>
      <c r="J172" s="158">
        <f ca="1">IF(Daten!$U172=13,1,0)</f>
        <v>0</v>
      </c>
      <c r="K172" s="159">
        <f ca="1">IF(Daten!$U172&lt;&gt;Daten!$V172,1,IF(Daten!$U172=14,1,0))</f>
        <v>0</v>
      </c>
      <c r="L172" s="159">
        <f ca="1">IF(Daten!$U172&lt;&gt;Daten!$V172,1,IF(Daten!$U172=16,1,0))</f>
        <v>0</v>
      </c>
      <c r="M172" s="159">
        <f ca="1">IF(Daten!$V172=17,1,0)</f>
        <v>0</v>
      </c>
      <c r="N172" s="160">
        <f ca="1">IF(Daten!$W172=Sprache!$A$60,1,0)</f>
        <v>1</v>
      </c>
      <c r="O172" s="173">
        <f>IF(AND(Daten!$AK172&lt;=KINVARO!$AW$3,Daten!$AL172&gt;=KINVARO!$AW$3)=TRUE,1,0)</f>
        <v>1</v>
      </c>
      <c r="P172" s="174">
        <f>IF(AND(Daten!$Z172&lt;=KINVARO!$AW$4,Daten!$AA172&gt;=KINVARO!$AW$4)=TRUE,1,0)</f>
        <v>0</v>
      </c>
      <c r="Q172" s="174"/>
      <c r="R172" s="174">
        <f>IF(AND(Daten!$AC172&lt;='Material+Limits'!$I$58,Daten!$AD172&gt;='Material+Limits'!$I$58)=TRUE,1,0)</f>
        <v>0</v>
      </c>
      <c r="S172" s="38">
        <f ca="1">IF(Daten!$X172=Sprache!$A$125,1,0)</f>
        <v>1</v>
      </c>
      <c r="T172" s="57" t="str">
        <f ca="1">Sprache!$A$56</f>
        <v>Podnośnik T-71</v>
      </c>
      <c r="U172" s="55">
        <f ca="1">Sprache!$A$64</f>
        <v>0</v>
      </c>
      <c r="V172" s="38">
        <f ca="1">Sprache!$A$64</f>
        <v>0</v>
      </c>
      <c r="W172" s="56" t="str">
        <f ca="1">Sprache!$A$60</f>
        <v>Front lity (drewno/płyta)</v>
      </c>
      <c r="X172" s="56">
        <f ca="1">Sprache!$A$125</f>
        <v>0</v>
      </c>
      <c r="Y172" s="56" t="str">
        <f ca="1">Sprache!$A$69</f>
        <v>Front</v>
      </c>
      <c r="Z172" s="56">
        <v>600</v>
      </c>
      <c r="AA172" s="57">
        <v>600</v>
      </c>
      <c r="AB172" s="56"/>
      <c r="AC172" s="58">
        <v>1.4</v>
      </c>
      <c r="AD172" s="59">
        <v>3.3</v>
      </c>
      <c r="AE172" s="56" t="s">
        <v>803</v>
      </c>
      <c r="AF172" s="56" t="str">
        <f ca="1">Sprache!$A$101</f>
        <v>Zestaw (prawy+lewy)</v>
      </c>
      <c r="AG172" s="56" t="s">
        <v>26</v>
      </c>
      <c r="AH172" s="56" t="str">
        <f ca="1">Sprache!$A$117</f>
        <v>Sprężyna biała</v>
      </c>
      <c r="AI172" s="56" t="s">
        <v>26</v>
      </c>
      <c r="AJ172" s="56" t="s">
        <v>26</v>
      </c>
      <c r="AK172" s="56">
        <f>'Material+Limits'!$K$9</f>
        <v>200</v>
      </c>
      <c r="AL172" s="57">
        <v>1200</v>
      </c>
      <c r="AM172" s="30"/>
      <c r="AN172" s="24"/>
      <c r="AO172"/>
      <c r="AR172"/>
      <c r="AS172"/>
      <c r="AT172"/>
      <c r="AU172"/>
      <c r="AV172"/>
    </row>
    <row r="173" spans="1:48" x14ac:dyDescent="0.25">
      <c r="A173" t="str">
        <f t="shared" ca="1" si="5"/>
        <v/>
      </c>
      <c r="B173" t="str">
        <f t="shared" ca="1" si="4"/>
        <v/>
      </c>
      <c r="C173" s="79">
        <f>IF('Material+Limits'!$P$8=TRUE,1,0)</f>
        <v>0</v>
      </c>
      <c r="D173" s="39">
        <f>IF(Daten!$O173+Daten!$P173+Daten!$R173=3,1,0)</f>
        <v>0</v>
      </c>
      <c r="E173" s="184">
        <f ca="1">IF(AND('Material+Limits'!$Q$21=TRUE,Daten!N173=1)=TRUE,1,0)</f>
        <v>1</v>
      </c>
      <c r="F173" s="185">
        <f ca="1">IF(AND('Material+Limits'!$Q$25=TRUE,Daten!M173=1)=TRUE,1,0)</f>
        <v>0</v>
      </c>
      <c r="G173" s="185">
        <f ca="1">IF(AND('Material+Limits'!$Q$24=TRUE,Daten!L173=1)=TRUE,1,0)</f>
        <v>0</v>
      </c>
      <c r="H173" s="185">
        <f ca="1">IF(AND('Material+Limits'!$Q$23=TRUE,Daten!K173=1)=TRUE,1,0)</f>
        <v>0</v>
      </c>
      <c r="I173" s="185">
        <f ca="1">IF(AND('Material+Limits'!$Q$22=TRUE,Daten!J173=1)=TRUE,1,0)</f>
        <v>0</v>
      </c>
      <c r="J173" s="155">
        <f ca="1">IF(Daten!$U173=13,1,0)</f>
        <v>0</v>
      </c>
      <c r="K173" s="156">
        <f ca="1">IF(Daten!$U173&lt;&gt;Daten!$V173,1,IF(Daten!$U173=14,1,0))</f>
        <v>0</v>
      </c>
      <c r="L173" s="156">
        <f ca="1">IF(Daten!$U173&lt;&gt;Daten!$V173,1,IF(Daten!$U173=16,1,0))</f>
        <v>0</v>
      </c>
      <c r="M173" s="156">
        <f ca="1">IF(Daten!$V173=17,1,0)</f>
        <v>0</v>
      </c>
      <c r="N173" s="157">
        <f ca="1">IF(Daten!$W173=Sprache!$A$60,1,0)</f>
        <v>1</v>
      </c>
      <c r="O173" s="169">
        <f>IF(AND(Daten!$AK173&lt;=KINVARO!$AW$3,Daten!$AL173&gt;=KINVARO!$AW$3)=TRUE,1,0)</f>
        <v>1</v>
      </c>
      <c r="P173" s="170">
        <f>IF(AND(Daten!$Z173&lt;=KINVARO!$AW$4,Daten!$AA173&gt;=KINVARO!$AW$4)=TRUE,1,0)</f>
        <v>0</v>
      </c>
      <c r="R173" s="170">
        <f>IF(AND(Daten!$AC173&lt;='Material+Limits'!$I$58,Daten!$AD173&gt;='Material+Limits'!$I$58)=TRUE,1,0)</f>
        <v>0</v>
      </c>
      <c r="S173" s="29">
        <f ca="1">IF(Daten!$X173=Sprache!$A$125,1,0)</f>
        <v>1</v>
      </c>
      <c r="T173" s="28" t="str">
        <f ca="1">Sprache!$A$56</f>
        <v>Podnośnik T-71</v>
      </c>
      <c r="U173" s="32">
        <f ca="1">Sprache!$A$64</f>
        <v>0</v>
      </c>
      <c r="V173" s="29">
        <f ca="1">Sprache!$A$64</f>
        <v>0</v>
      </c>
      <c r="W173" s="30" t="str">
        <f ca="1">Sprache!$A$60</f>
        <v>Front lity (drewno/płyta)</v>
      </c>
      <c r="X173" s="30">
        <f ca="1">Sprache!$A$125</f>
        <v>0</v>
      </c>
      <c r="Y173" s="30" t="str">
        <f ca="1">Sprache!$A$69</f>
        <v>Front</v>
      </c>
      <c r="Z173" s="30">
        <v>600</v>
      </c>
      <c r="AA173" s="28">
        <v>600</v>
      </c>
      <c r="AB173" s="30"/>
      <c r="AC173" s="31">
        <v>1.4</v>
      </c>
      <c r="AD173" s="53">
        <v>4.2</v>
      </c>
      <c r="AE173" s="30" t="s">
        <v>803</v>
      </c>
      <c r="AF173" s="30" t="str">
        <f ca="1">Sprache!$A$101</f>
        <v>Zestaw (prawy+lewy)</v>
      </c>
      <c r="AG173" s="30" t="s">
        <v>26</v>
      </c>
      <c r="AH173" s="30" t="str">
        <f ca="1">Sprache!$A$118</f>
        <v>Sprężyna pomarańczowa</v>
      </c>
      <c r="AI173" s="30" t="s">
        <v>26</v>
      </c>
      <c r="AJ173" s="30" t="s">
        <v>26</v>
      </c>
      <c r="AK173" s="30">
        <f>'Material+Limits'!$K$9</f>
        <v>200</v>
      </c>
      <c r="AL173" s="28">
        <v>1200</v>
      </c>
      <c r="AM173" s="30"/>
      <c r="AN173" s="28"/>
      <c r="AO173"/>
      <c r="AR173"/>
      <c r="AS173"/>
      <c r="AT173"/>
      <c r="AU173"/>
      <c r="AV173"/>
    </row>
    <row r="174" spans="1:48" x14ac:dyDescent="0.25">
      <c r="A174" t="str">
        <f t="shared" ca="1" si="5"/>
        <v/>
      </c>
      <c r="B174" t="str">
        <f t="shared" ca="1" si="4"/>
        <v/>
      </c>
      <c r="C174" s="79">
        <f>IF('Material+Limits'!$P$8=TRUE,1,0)</f>
        <v>0</v>
      </c>
      <c r="D174" s="39">
        <f>IF(Daten!$O174+Daten!$P174+Daten!$R174=3,1,0)</f>
        <v>0</v>
      </c>
      <c r="E174" s="184">
        <f ca="1">IF(AND('Material+Limits'!$Q$21=TRUE,Daten!N174=1)=TRUE,1,0)</f>
        <v>0</v>
      </c>
      <c r="F174" s="185">
        <f>IF(AND('Material+Limits'!$Q$25=TRUE,Daten!M174=1)=TRUE,1,0)</f>
        <v>0</v>
      </c>
      <c r="G174" s="185">
        <f>IF(AND('Material+Limits'!$Q$24=TRUE,Daten!L174=1)=TRUE,1,0)</f>
        <v>0</v>
      </c>
      <c r="H174" s="185">
        <f>IF(AND('Material+Limits'!$Q$23=TRUE,Daten!K174=1)=TRUE,1,0)</f>
        <v>0</v>
      </c>
      <c r="I174" s="185">
        <f>IF(AND('Material+Limits'!$Q$22=TRUE,Daten!J174=1)=TRUE,1,0)</f>
        <v>0</v>
      </c>
      <c r="J174" s="158">
        <f>IF(Daten!$U174=13,1,0)</f>
        <v>1</v>
      </c>
      <c r="K174" s="159">
        <f>IF(Daten!$U174&lt;&gt;Daten!$V174,1,IF(Daten!$U174=14,1,0))</f>
        <v>1</v>
      </c>
      <c r="L174" s="159">
        <f>IF(Daten!$U174&lt;&gt;Daten!$V174,1,IF(Daten!$U174=16,1,0))</f>
        <v>1</v>
      </c>
      <c r="M174" s="159">
        <f>IF(Daten!$V174=17,1,0)</f>
        <v>1</v>
      </c>
      <c r="N174" s="160">
        <f ca="1">IF(Daten!$W174=Sprache!$A$60,1,0)</f>
        <v>0</v>
      </c>
      <c r="O174" s="171">
        <f>IF(AND(Daten!$AK174&lt;=KINVARO!$AW$3,Daten!$AL174&gt;=KINVARO!$AW$3)=TRUE,1,0)</f>
        <v>1</v>
      </c>
      <c r="P174" s="172">
        <f>IF(AND(Daten!$Z174&lt;=KINVARO!$AW$4,Daten!$AA174&gt;=KINVARO!$AW$4)=TRUE,1,0)</f>
        <v>0</v>
      </c>
      <c r="Q174" s="172"/>
      <c r="R174" s="172">
        <f>IF(AND(Daten!$AC174&lt;='Material+Limits'!$I$58,Daten!$AD174&gt;='Material+Limits'!$I$58)=TRUE,1,0)</f>
        <v>0</v>
      </c>
      <c r="S174" s="23">
        <f ca="1">IF(Daten!$X174=Sprache!$A$125,1,0)</f>
        <v>1</v>
      </c>
      <c r="T174" s="24" t="str">
        <f ca="1">Sprache!$A$56</f>
        <v>Podnośnik T-71</v>
      </c>
      <c r="U174" s="27">
        <v>13</v>
      </c>
      <c r="V174" s="23">
        <v>17</v>
      </c>
      <c r="W174" s="25">
        <f ca="1">Sprache!$A$132</f>
        <v>0</v>
      </c>
      <c r="X174" s="25">
        <f ca="1">Sprache!$A$125</f>
        <v>0</v>
      </c>
      <c r="Y174" s="25" t="str">
        <f ca="1">Sprache!$A$69</f>
        <v>Front</v>
      </c>
      <c r="Z174" s="25">
        <v>600</v>
      </c>
      <c r="AA174" s="24">
        <v>600</v>
      </c>
      <c r="AB174" s="25"/>
      <c r="AC174" s="26">
        <v>1.4</v>
      </c>
      <c r="AD174" s="54">
        <v>3.3</v>
      </c>
      <c r="AE174" s="25" t="s">
        <v>803</v>
      </c>
      <c r="AF174" s="25" t="str">
        <f ca="1">Sprache!$A$101</f>
        <v>Zestaw (prawy+lewy)</v>
      </c>
      <c r="AG174" s="25" t="s">
        <v>26</v>
      </c>
      <c r="AH174" s="25" t="str">
        <f ca="1">Sprache!$A$117</f>
        <v>Sprężyna biała</v>
      </c>
      <c r="AI174" s="25" t="str">
        <f ca="1">Sprache!$A$136</f>
        <v>Adapter do ram aluminiowych, do Kinvaro T-71 zest.</v>
      </c>
      <c r="AJ174" s="242" t="s">
        <v>826</v>
      </c>
      <c r="AK174" s="25">
        <f>'Material+Limits'!$K$9</f>
        <v>200</v>
      </c>
      <c r="AL174" s="24">
        <v>1200</v>
      </c>
      <c r="AM174" s="30"/>
      <c r="AN174" s="24"/>
      <c r="AO174"/>
      <c r="AR174"/>
      <c r="AS174"/>
      <c r="AT174"/>
      <c r="AU174"/>
      <c r="AV174"/>
    </row>
    <row r="175" spans="1:48" s="9" customFormat="1" ht="15.75" thickBot="1" x14ac:dyDescent="0.3">
      <c r="A175" t="str">
        <f t="shared" ca="1" si="5"/>
        <v/>
      </c>
      <c r="B175" t="str">
        <f t="shared" ca="1" si="4"/>
        <v/>
      </c>
      <c r="C175" s="81">
        <f>IF('Material+Limits'!$P$8=TRUE,1,0)</f>
        <v>0</v>
      </c>
      <c r="D175" s="39">
        <f>IF(Daten!$O175+Daten!$P175+Daten!$R175=3,1,0)</f>
        <v>0</v>
      </c>
      <c r="E175" s="184">
        <f ca="1">IF(AND('Material+Limits'!$Q$21=TRUE,Daten!N175=1)=TRUE,1,0)</f>
        <v>0</v>
      </c>
      <c r="F175" s="185">
        <f>IF(AND('Material+Limits'!$Q$25=TRUE,Daten!M175=1)=TRUE,1,0)</f>
        <v>0</v>
      </c>
      <c r="G175" s="185">
        <f>IF(AND('Material+Limits'!$Q$24=TRUE,Daten!L175=1)=TRUE,1,0)</f>
        <v>0</v>
      </c>
      <c r="H175" s="185">
        <f>IF(AND('Material+Limits'!$Q$23=TRUE,Daten!K175=1)=TRUE,1,0)</f>
        <v>0</v>
      </c>
      <c r="I175" s="185">
        <f>IF(AND('Material+Limits'!$Q$22=TRUE,Daten!J175=1)=TRUE,1,0)</f>
        <v>0</v>
      </c>
      <c r="J175" s="155">
        <f>IF(Daten!$U175=13,1,0)</f>
        <v>1</v>
      </c>
      <c r="K175" s="156">
        <f>IF(Daten!$U175&lt;&gt;Daten!$V175,1,IF(Daten!$U175=14,1,0))</f>
        <v>1</v>
      </c>
      <c r="L175" s="156">
        <f>IF(Daten!$U175&lt;&gt;Daten!$V175,1,IF(Daten!$U175=16,1,0))</f>
        <v>1</v>
      </c>
      <c r="M175" s="156">
        <f>IF(Daten!$V175=17,1,0)</f>
        <v>1</v>
      </c>
      <c r="N175" s="157">
        <f ca="1">IF(Daten!$W175=Sprache!$A$60,1,0)</f>
        <v>0</v>
      </c>
      <c r="O175" s="169">
        <f>IF(AND(Daten!$AK175&lt;=KINVARO!$AW$3,Daten!$AL175&gt;=KINVARO!$AW$3)=TRUE,1,0)</f>
        <v>1</v>
      </c>
      <c r="P175" s="169">
        <f>IF(AND(Daten!$Z175&lt;=KINVARO!$AW$4,Daten!$AA175&gt;=KINVARO!$AW$4)=TRUE,1,0)</f>
        <v>0</v>
      </c>
      <c r="Q175" s="169"/>
      <c r="R175" s="169">
        <f>IF(AND(Daten!$AC175&lt;='Material+Limits'!$I$58,Daten!$AD175&gt;='Material+Limits'!$I$58)=TRUE,1,0)</f>
        <v>0</v>
      </c>
      <c r="S175" s="32">
        <f ca="1">IF(Daten!$X175=Sprache!$A$125,1,0)</f>
        <v>1</v>
      </c>
      <c r="T175" s="30" t="str">
        <f ca="1">Sprache!$A$56</f>
        <v>Podnośnik T-71</v>
      </c>
      <c r="U175" s="32">
        <v>13</v>
      </c>
      <c r="V175" s="29">
        <v>17</v>
      </c>
      <c r="W175" s="30">
        <f ca="1">Sprache!$A$132</f>
        <v>0</v>
      </c>
      <c r="X175" s="30">
        <f ca="1">Sprache!$A$125</f>
        <v>0</v>
      </c>
      <c r="Y175" s="30" t="str">
        <f ca="1">Sprache!$A$69</f>
        <v>Front</v>
      </c>
      <c r="Z175" s="30">
        <v>600</v>
      </c>
      <c r="AA175" s="28">
        <v>600</v>
      </c>
      <c r="AB175" s="30"/>
      <c r="AC175" s="31">
        <v>1.4</v>
      </c>
      <c r="AD175" s="53">
        <v>4.2</v>
      </c>
      <c r="AE175" s="30" t="s">
        <v>803</v>
      </c>
      <c r="AF175" s="30" t="str">
        <f ca="1">Sprache!$A$101</f>
        <v>Zestaw (prawy+lewy)</v>
      </c>
      <c r="AG175" s="30" t="s">
        <v>26</v>
      </c>
      <c r="AH175" s="30" t="str">
        <f ca="1">Sprache!$A$118</f>
        <v>Sprężyna pomarańczowa</v>
      </c>
      <c r="AI175" s="30" t="str">
        <f ca="1">Sprache!$A$136</f>
        <v>Adapter do ram aluminiowych, do Kinvaro T-71 zest.</v>
      </c>
      <c r="AJ175" s="243" t="s">
        <v>826</v>
      </c>
      <c r="AK175" s="30">
        <f>'Material+Limits'!$K$9</f>
        <v>200</v>
      </c>
      <c r="AL175" s="28">
        <v>1200</v>
      </c>
      <c r="AM175" s="30"/>
      <c r="AN175" s="28"/>
    </row>
    <row r="176" spans="1:48" ht="15.75" thickTop="1" x14ac:dyDescent="0.25">
      <c r="A176" t="str">
        <f t="shared" ca="1" si="5"/>
        <v/>
      </c>
      <c r="B176" t="str">
        <f t="shared" ca="1" si="4"/>
        <v/>
      </c>
      <c r="C176" s="79">
        <f>IF('Material+Limits'!$P$7=TRUE,1,0)</f>
        <v>0</v>
      </c>
      <c r="D176" s="39">
        <f>IF(Daten!$O176+Daten!$P176+Daten!$R176=3,1,0)</f>
        <v>0</v>
      </c>
      <c r="E176" s="184">
        <f ca="1">IF(AND('Material+Limits'!$Q$21=TRUE,Daten!N176=1)=TRUE,1,0)</f>
        <v>1</v>
      </c>
      <c r="F176" s="185">
        <f ca="1">IF(AND('Material+Limits'!$Q$25=TRUE,Daten!M176=1)=TRUE,1,0)</f>
        <v>0</v>
      </c>
      <c r="G176" s="185">
        <f ca="1">IF(AND('Material+Limits'!$Q$24=TRUE,Daten!L176=1)=TRUE,1,0)</f>
        <v>0</v>
      </c>
      <c r="H176" s="185">
        <f ca="1">IF(AND('Material+Limits'!$Q$23=TRUE,Daten!K176=1)=TRUE,1,0)</f>
        <v>0</v>
      </c>
      <c r="I176" s="185">
        <f ca="1">IF(AND('Material+Limits'!$Q$22=TRUE,Daten!J176=1)=TRUE,1,0)</f>
        <v>0</v>
      </c>
      <c r="J176" s="158">
        <f ca="1">IF(Daten!$U176=13,1,0)</f>
        <v>0</v>
      </c>
      <c r="K176" s="159">
        <f ca="1">IF(Daten!$U176&lt;&gt;Daten!$V176,1,IF(Daten!$U176=14,1,0))</f>
        <v>0</v>
      </c>
      <c r="L176" s="159">
        <f ca="1">IF(Daten!$U176&lt;&gt;Daten!$V176,1,IF(Daten!$U176=16,1,0))</f>
        <v>0</v>
      </c>
      <c r="M176" s="159">
        <f ca="1">IF(Daten!$V176=17,1,0)</f>
        <v>0</v>
      </c>
      <c r="N176" s="160">
        <f ca="1">IF(Daten!$W176=Sprache!$A$60,1,0)</f>
        <v>1</v>
      </c>
      <c r="O176" s="175">
        <f>IF(AND(Daten!$AK176&lt;=KINVARO!$AW$3,Daten!$AL176&gt;=KINVARO!$AW$3)=TRUE,1,0)</f>
        <v>1</v>
      </c>
      <c r="P176" s="176">
        <f>IF(AND(Daten!$Z176&lt;=KINVARO!$AW$4,Daten!$AA176&gt;=KINVARO!$AW$4)=TRUE,1,0)</f>
        <v>0</v>
      </c>
      <c r="Q176" s="176"/>
      <c r="R176" s="176">
        <f>IF(AND(Daten!$AC176&lt;='Material+Limits'!$I$58,Daten!$AD176&gt;='Material+Limits'!$I$58)=TRUE,1,0)</f>
        <v>1</v>
      </c>
      <c r="S176" s="61">
        <f ca="1">IF(Daten!$X176=Sprache!$A$125,1,0)</f>
        <v>1</v>
      </c>
      <c r="T176" s="63" t="str">
        <f ca="1">Sprache!$A$57</f>
        <v>Podnośnik T-70</v>
      </c>
      <c r="U176" s="60">
        <f ca="1">Sprache!$A$64</f>
        <v>0</v>
      </c>
      <c r="V176" s="61">
        <f ca="1">Sprache!$A$64</f>
        <v>0</v>
      </c>
      <c r="W176" s="62" t="str">
        <f ca="1">Sprache!$A$60</f>
        <v>Front lity (drewno/płyta)</v>
      </c>
      <c r="X176" s="62">
        <f ca="1">Sprache!$A$126</f>
        <v>0</v>
      </c>
      <c r="Y176" s="62" t="str">
        <f ca="1">Sprache!$A$69</f>
        <v>Front</v>
      </c>
      <c r="Z176" s="62">
        <v>300</v>
      </c>
      <c r="AA176" s="63">
        <v>349</v>
      </c>
      <c r="AB176" s="62"/>
      <c r="AC176" s="64">
        <v>2.1</v>
      </c>
      <c r="AD176" s="65">
        <v>7.4</v>
      </c>
      <c r="AE176" s="62" t="s">
        <v>804</v>
      </c>
      <c r="AF176" s="62" t="str">
        <f ca="1">Sprache!$A$101</f>
        <v>Zestaw (prawy+lewy)</v>
      </c>
      <c r="AG176" s="62" t="s">
        <v>26</v>
      </c>
      <c r="AH176" s="62" t="str">
        <f ca="1">Sprache!$A$117</f>
        <v>Sprężyna biała</v>
      </c>
      <c r="AI176" s="62" t="s">
        <v>26</v>
      </c>
      <c r="AJ176" s="62" t="s">
        <v>26</v>
      </c>
      <c r="AK176" s="62">
        <f>'Material+Limits'!$K$9</f>
        <v>200</v>
      </c>
      <c r="AL176" s="63">
        <v>1200</v>
      </c>
      <c r="AM176" s="30"/>
      <c r="AN176" s="24"/>
      <c r="AO176"/>
      <c r="AR176"/>
      <c r="AS176"/>
      <c r="AT176"/>
      <c r="AU176"/>
      <c r="AV176"/>
    </row>
    <row r="177" spans="1:48" x14ac:dyDescent="0.25">
      <c r="A177" t="str">
        <f t="shared" ca="1" si="5"/>
        <v/>
      </c>
      <c r="B177" t="str">
        <f t="shared" ca="1" si="4"/>
        <v/>
      </c>
      <c r="C177" s="79">
        <f>IF('Material+Limits'!$P$7=TRUE,1,0)</f>
        <v>0</v>
      </c>
      <c r="D177" s="39">
        <f>IF(Daten!$O177+Daten!$P177+Daten!$R177=3,1,0)</f>
        <v>0</v>
      </c>
      <c r="E177" s="184">
        <f ca="1">IF(AND('Material+Limits'!$Q$21=TRUE,Daten!N177=1)=TRUE,1,0)</f>
        <v>1</v>
      </c>
      <c r="F177" s="185">
        <f ca="1">IF(AND('Material+Limits'!$Q$25=TRUE,Daten!M177=1)=TRUE,1,0)</f>
        <v>0</v>
      </c>
      <c r="G177" s="185">
        <f ca="1">IF(AND('Material+Limits'!$Q$24=TRUE,Daten!L177=1)=TRUE,1,0)</f>
        <v>0</v>
      </c>
      <c r="H177" s="185">
        <f ca="1">IF(AND('Material+Limits'!$Q$23=TRUE,Daten!K177=1)=TRUE,1,0)</f>
        <v>0</v>
      </c>
      <c r="I177" s="185">
        <f ca="1">IF(AND('Material+Limits'!$Q$22=TRUE,Daten!J177=1)=TRUE,1,0)</f>
        <v>0</v>
      </c>
      <c r="J177" s="155">
        <f ca="1">IF(Daten!$U177=13,1,0)</f>
        <v>0</v>
      </c>
      <c r="K177" s="156">
        <f ca="1">IF(Daten!$U177&lt;&gt;Daten!$V177,1,IF(Daten!$U177=14,1,0))</f>
        <v>0</v>
      </c>
      <c r="L177" s="156">
        <f ca="1">IF(Daten!$U177&lt;&gt;Daten!$V177,1,IF(Daten!$U177=16,1,0))</f>
        <v>0</v>
      </c>
      <c r="M177" s="156">
        <f ca="1">IF(Daten!$V177=17,1,0)</f>
        <v>0</v>
      </c>
      <c r="N177" s="157">
        <f ca="1">IF(Daten!$W177=Sprache!$A$60,1,0)</f>
        <v>1</v>
      </c>
      <c r="O177" s="169">
        <f>IF(AND(Daten!$AK177&lt;=KINVARO!$AW$3,Daten!$AL177&gt;=KINVARO!$AW$3)=TRUE,1,0)</f>
        <v>1</v>
      </c>
      <c r="P177" s="170">
        <f>IF(AND(Daten!$Z177&lt;=KINVARO!$AW$4,Daten!$AA177&gt;=KINVARO!$AW$4)=TRUE,1,0)</f>
        <v>0</v>
      </c>
      <c r="R177" s="170">
        <f>IF(AND(Daten!$AC177&lt;='Material+Limits'!$I$58,Daten!$AD177&gt;='Material+Limits'!$I$58)=TRUE,1,0)</f>
        <v>1</v>
      </c>
      <c r="S177" s="29">
        <f ca="1">IF(Daten!$X177=Sprache!$A$125,1,0)</f>
        <v>1</v>
      </c>
      <c r="T177" s="28" t="str">
        <f ca="1">Sprache!$A$57</f>
        <v>Podnośnik T-70</v>
      </c>
      <c r="U177" s="32">
        <f ca="1">Sprache!$A$64</f>
        <v>0</v>
      </c>
      <c r="V177" s="29">
        <f ca="1">Sprache!$A$64</f>
        <v>0</v>
      </c>
      <c r="W177" s="30" t="str">
        <f ca="1">Sprache!$A$60</f>
        <v>Front lity (drewno/płyta)</v>
      </c>
      <c r="X177" s="30">
        <f ca="1">Sprache!$A$126</f>
        <v>0</v>
      </c>
      <c r="Y177" s="30" t="str">
        <f ca="1">Sprache!$A$69</f>
        <v>Front</v>
      </c>
      <c r="Z177" s="30">
        <v>300</v>
      </c>
      <c r="AA177" s="28">
        <v>349</v>
      </c>
      <c r="AB177" s="30"/>
      <c r="AC177" s="31">
        <v>2.5</v>
      </c>
      <c r="AD177" s="53">
        <v>8.5</v>
      </c>
      <c r="AE177" s="30" t="s">
        <v>804</v>
      </c>
      <c r="AF177" s="30" t="str">
        <f ca="1">Sprache!$A$101</f>
        <v>Zestaw (prawy+lewy)</v>
      </c>
      <c r="AG177" s="30" t="s">
        <v>26</v>
      </c>
      <c r="AH177" s="30" t="str">
        <f ca="1">Sprache!$A$118</f>
        <v>Sprężyna pomarańczowa</v>
      </c>
      <c r="AI177" s="30" t="s">
        <v>26</v>
      </c>
      <c r="AJ177" s="30" t="s">
        <v>26</v>
      </c>
      <c r="AK177" s="30">
        <f>'Material+Limits'!$K$9</f>
        <v>200</v>
      </c>
      <c r="AL177" s="28">
        <v>1200</v>
      </c>
      <c r="AM177" s="30"/>
      <c r="AN177" s="28"/>
      <c r="AO177"/>
      <c r="AR177"/>
      <c r="AS177"/>
      <c r="AT177"/>
      <c r="AU177"/>
      <c r="AV177"/>
    </row>
    <row r="178" spans="1:48" x14ac:dyDescent="0.25">
      <c r="A178" t="str">
        <f t="shared" ca="1" si="5"/>
        <v/>
      </c>
      <c r="B178" t="str">
        <f t="shared" ca="1" si="4"/>
        <v/>
      </c>
      <c r="C178" s="79">
        <f>IF('Material+Limits'!$P$7=TRUE,1,0)</f>
        <v>0</v>
      </c>
      <c r="D178" s="39">
        <f>IF(Daten!$O178+Daten!$P178+Daten!$R178=3,1,0)</f>
        <v>0</v>
      </c>
      <c r="E178" s="184">
        <f ca="1">IF(AND('Material+Limits'!$Q$21=TRUE,Daten!N178=1)=TRUE,1,0)</f>
        <v>0</v>
      </c>
      <c r="F178" s="185">
        <f>IF(AND('Material+Limits'!$Q$25=TRUE,Daten!M178=1)=TRUE,1,0)</f>
        <v>0</v>
      </c>
      <c r="G178" s="185">
        <f>IF(AND('Material+Limits'!$Q$24=TRUE,Daten!L178=1)=TRUE,1,0)</f>
        <v>0</v>
      </c>
      <c r="H178" s="185">
        <f>IF(AND('Material+Limits'!$Q$23=TRUE,Daten!K178=1)=TRUE,1,0)</f>
        <v>0</v>
      </c>
      <c r="I178" s="185">
        <f>IF(AND('Material+Limits'!$Q$22=TRUE,Daten!J178=1)=TRUE,1,0)</f>
        <v>0</v>
      </c>
      <c r="J178" s="158">
        <f>IF(Daten!$U178=13,1,0)</f>
        <v>1</v>
      </c>
      <c r="K178" s="159">
        <f>IF(Daten!$U178&lt;&gt;Daten!$V178,1,IF(Daten!$U178=14,1,0))</f>
        <v>0</v>
      </c>
      <c r="L178" s="159">
        <f>IF(Daten!$U178&lt;&gt;Daten!$V178,1,IF(Daten!$U178=16,1,0))</f>
        <v>0</v>
      </c>
      <c r="M178" s="159">
        <f>IF(Daten!$V178=17,1,0)</f>
        <v>0</v>
      </c>
      <c r="N178" s="160">
        <f ca="1">IF(Daten!$W178=Sprache!$A$60,1,0)</f>
        <v>0</v>
      </c>
      <c r="O178" s="171">
        <f>IF(AND(Daten!$AK178&lt;=KINVARO!$AW$3,Daten!$AL178&gt;=KINVARO!$AW$3)=TRUE,1,0)</f>
        <v>1</v>
      </c>
      <c r="P178" s="172">
        <f>IF(AND(Daten!$Z178&lt;=KINVARO!$AW$4,Daten!$AA178&gt;=KINVARO!$AW$4)=TRUE,1,0)</f>
        <v>0</v>
      </c>
      <c r="Q178" s="172"/>
      <c r="R178" s="172">
        <f>IF(AND(Daten!$AC178&lt;='Material+Limits'!$I$58,Daten!$AD178&gt;='Material+Limits'!$I$58)=TRUE,1,0)</f>
        <v>1</v>
      </c>
      <c r="S178" s="23">
        <f ca="1">IF(Daten!$X178=Sprache!$A$125,1,0)</f>
        <v>1</v>
      </c>
      <c r="T178" s="24" t="str">
        <f ca="1">Sprache!$A$57</f>
        <v>Podnośnik T-70</v>
      </c>
      <c r="U178" s="27">
        <v>13</v>
      </c>
      <c r="V178" s="23">
        <v>13</v>
      </c>
      <c r="W178" s="25">
        <f ca="1">Sprache!$A$131</f>
        <v>0</v>
      </c>
      <c r="X178" s="25">
        <f ca="1">Sprache!$A$126</f>
        <v>0</v>
      </c>
      <c r="Y178" s="25" t="str">
        <f ca="1">Sprache!$A$69</f>
        <v>Front</v>
      </c>
      <c r="Z178" s="25">
        <v>300</v>
      </c>
      <c r="AA178" s="24">
        <v>349</v>
      </c>
      <c r="AB178" s="25"/>
      <c r="AC178" s="26">
        <v>2.1</v>
      </c>
      <c r="AD178" s="54">
        <v>7.4</v>
      </c>
      <c r="AE178" s="25" t="s">
        <v>805</v>
      </c>
      <c r="AF178" s="25" t="str">
        <f ca="1">Sprache!$A$101</f>
        <v>Zestaw (prawy+lewy)</v>
      </c>
      <c r="AG178" s="25" t="s">
        <v>26</v>
      </c>
      <c r="AH178" s="25" t="str">
        <f ca="1">Sprache!$A$117</f>
        <v>Sprężyna biała</v>
      </c>
      <c r="AI178" s="25" t="s">
        <v>26</v>
      </c>
      <c r="AJ178" s="25" t="s">
        <v>26</v>
      </c>
      <c r="AK178" s="25">
        <f>'Material+Limits'!$K$9</f>
        <v>200</v>
      </c>
      <c r="AL178" s="24">
        <v>1200</v>
      </c>
      <c r="AM178" s="30"/>
      <c r="AN178" s="24"/>
      <c r="AO178"/>
      <c r="AR178"/>
      <c r="AS178"/>
      <c r="AT178"/>
      <c r="AU178"/>
      <c r="AV178"/>
    </row>
    <row r="179" spans="1:48" x14ac:dyDescent="0.25">
      <c r="A179" t="str">
        <f t="shared" ca="1" si="5"/>
        <v/>
      </c>
      <c r="B179" t="str">
        <f t="shared" ca="1" si="4"/>
        <v/>
      </c>
      <c r="C179" s="79">
        <f>IF('Material+Limits'!$P$7=TRUE,1,0)</f>
        <v>0</v>
      </c>
      <c r="D179" s="39">
        <f>IF(Daten!$O179+Daten!$P179+Daten!$R179=3,1,0)</f>
        <v>0</v>
      </c>
      <c r="E179" s="184">
        <f ca="1">IF(AND('Material+Limits'!$Q$21=TRUE,Daten!N179=1)=TRUE,1,0)</f>
        <v>0</v>
      </c>
      <c r="F179" s="185">
        <f>IF(AND('Material+Limits'!$Q$25=TRUE,Daten!M179=1)=TRUE,1,0)</f>
        <v>0</v>
      </c>
      <c r="G179" s="185">
        <f>IF(AND('Material+Limits'!$Q$24=TRUE,Daten!L179=1)=TRUE,1,0)</f>
        <v>0</v>
      </c>
      <c r="H179" s="185">
        <f>IF(AND('Material+Limits'!$Q$23=TRUE,Daten!K179=1)=TRUE,1,0)</f>
        <v>0</v>
      </c>
      <c r="I179" s="185">
        <f>IF(AND('Material+Limits'!$Q$22=TRUE,Daten!J179=1)=TRUE,1,0)</f>
        <v>0</v>
      </c>
      <c r="J179" s="155">
        <f>IF(Daten!$U179=13,1,0)</f>
        <v>1</v>
      </c>
      <c r="K179" s="156">
        <f>IF(Daten!$U179&lt;&gt;Daten!$V179,1,IF(Daten!$U179=14,1,0))</f>
        <v>0</v>
      </c>
      <c r="L179" s="156">
        <f>IF(Daten!$U179&lt;&gt;Daten!$V179,1,IF(Daten!$U179=16,1,0))</f>
        <v>0</v>
      </c>
      <c r="M179" s="156">
        <f>IF(Daten!$V179=17,1,0)</f>
        <v>0</v>
      </c>
      <c r="N179" s="157">
        <f ca="1">IF(Daten!$W179=Sprache!$A$60,1,0)</f>
        <v>0</v>
      </c>
      <c r="O179" s="169">
        <f>IF(AND(Daten!$AK179&lt;=KINVARO!$AW$3,Daten!$AL179&gt;=KINVARO!$AW$3)=TRUE,1,0)</f>
        <v>1</v>
      </c>
      <c r="P179" s="170">
        <f>IF(AND(Daten!$Z179&lt;=KINVARO!$AW$4,Daten!$AA179&gt;=KINVARO!$AW$4)=TRUE,1,0)</f>
        <v>0</v>
      </c>
      <c r="R179" s="170">
        <f>IF(AND(Daten!$AC179&lt;='Material+Limits'!$I$58,Daten!$AD179&gt;='Material+Limits'!$I$58)=TRUE,1,0)</f>
        <v>1</v>
      </c>
      <c r="S179" s="29">
        <f ca="1">IF(Daten!$X179=Sprache!$A$125,1,0)</f>
        <v>1</v>
      </c>
      <c r="T179" s="28" t="str">
        <f ca="1">Sprache!$A$57</f>
        <v>Podnośnik T-70</v>
      </c>
      <c r="U179" s="32">
        <v>13</v>
      </c>
      <c r="V179" s="29">
        <v>13</v>
      </c>
      <c r="W179" s="30">
        <f ca="1">Sprache!$A$131</f>
        <v>0</v>
      </c>
      <c r="X179" s="30">
        <f ca="1">Sprache!$A$126</f>
        <v>0</v>
      </c>
      <c r="Y179" s="30" t="str">
        <f ca="1">Sprache!$A$69</f>
        <v>Front</v>
      </c>
      <c r="Z179" s="30">
        <v>300</v>
      </c>
      <c r="AA179" s="28">
        <v>349</v>
      </c>
      <c r="AB179" s="30"/>
      <c r="AC179" s="31">
        <v>2.5</v>
      </c>
      <c r="AD179" s="53">
        <v>8.5</v>
      </c>
      <c r="AE179" s="30" t="s">
        <v>805</v>
      </c>
      <c r="AF179" s="30" t="str">
        <f ca="1">Sprache!$A$101</f>
        <v>Zestaw (prawy+lewy)</v>
      </c>
      <c r="AG179" s="30" t="s">
        <v>26</v>
      </c>
      <c r="AH179" s="30" t="str">
        <f ca="1">Sprache!$A$118</f>
        <v>Sprężyna pomarańczowa</v>
      </c>
      <c r="AI179" s="30" t="s">
        <v>26</v>
      </c>
      <c r="AJ179" s="30" t="s">
        <v>26</v>
      </c>
      <c r="AK179" s="30">
        <f>'Material+Limits'!$K$9</f>
        <v>200</v>
      </c>
      <c r="AL179" s="28">
        <v>1200</v>
      </c>
      <c r="AM179" s="30"/>
      <c r="AN179" s="28"/>
      <c r="AO179"/>
      <c r="AR179"/>
      <c r="AS179"/>
      <c r="AT179"/>
      <c r="AU179"/>
      <c r="AV179"/>
    </row>
    <row r="180" spans="1:48" x14ac:dyDescent="0.25">
      <c r="A180" t="str">
        <f t="shared" ca="1" si="5"/>
        <v/>
      </c>
      <c r="B180" t="str">
        <f t="shared" ca="1" si="4"/>
        <v/>
      </c>
      <c r="C180" s="79">
        <f>IF('Material+Limits'!$P$7=TRUE,1,0)</f>
        <v>0</v>
      </c>
      <c r="D180" s="39">
        <f>IF(Daten!$O180+Daten!$P180+Daten!$R180=3,1,0)</f>
        <v>0</v>
      </c>
      <c r="E180" s="184">
        <f ca="1">IF(AND('Material+Limits'!$Q$21=TRUE,Daten!N180=1)=TRUE,1,0)</f>
        <v>0</v>
      </c>
      <c r="F180" s="185">
        <f>IF(AND('Material+Limits'!$Q$25=TRUE,Daten!M180=1)=TRUE,1,0)</f>
        <v>0</v>
      </c>
      <c r="G180" s="185">
        <f>IF(AND('Material+Limits'!$Q$24=TRUE,Daten!L180=1)=TRUE,1,0)</f>
        <v>0</v>
      </c>
      <c r="H180" s="185">
        <f>IF(AND('Material+Limits'!$Q$23=TRUE,Daten!K180=1)=TRUE,1,0)</f>
        <v>0</v>
      </c>
      <c r="I180" s="185">
        <f>IF(AND('Material+Limits'!$Q$22=TRUE,Daten!J180=1)=TRUE,1,0)</f>
        <v>0</v>
      </c>
      <c r="J180" s="158">
        <f>IF(Daten!$U180=13,1,0)</f>
        <v>0</v>
      </c>
      <c r="K180" s="159">
        <f>IF(Daten!$U180&lt;&gt;Daten!$V180,1,IF(Daten!$U180=14,1,0))</f>
        <v>1</v>
      </c>
      <c r="L180" s="159">
        <f>IF(Daten!$U180&lt;&gt;Daten!$V180,1,IF(Daten!$U180=16,1,0))</f>
        <v>0</v>
      </c>
      <c r="M180" s="159">
        <f>IF(Daten!$V180=17,1,0)</f>
        <v>0</v>
      </c>
      <c r="N180" s="160">
        <f ca="1">IF(Daten!$W180=Sprache!$A$60,1,0)</f>
        <v>0</v>
      </c>
      <c r="O180" s="171">
        <f>IF(AND(Daten!$AK180&lt;=KINVARO!$AW$3,Daten!$AL180&gt;=KINVARO!$AW$3)=TRUE,1,0)</f>
        <v>1</v>
      </c>
      <c r="P180" s="172">
        <f>IF(AND(Daten!$Z180&lt;=KINVARO!$AW$4,Daten!$AA180&gt;=KINVARO!$AW$4)=TRUE,1,0)</f>
        <v>0</v>
      </c>
      <c r="Q180" s="172"/>
      <c r="R180" s="172">
        <f>IF(AND(Daten!$AC180&lt;='Material+Limits'!$I$58,Daten!$AD180&gt;='Material+Limits'!$I$58)=TRUE,1,0)</f>
        <v>1</v>
      </c>
      <c r="S180" s="23">
        <f ca="1">IF(Daten!$X180=Sprache!$A$125,1,0)</f>
        <v>1</v>
      </c>
      <c r="T180" s="24" t="str">
        <f ca="1">Sprache!$A$57</f>
        <v>Podnośnik T-70</v>
      </c>
      <c r="U180" s="27">
        <v>14</v>
      </c>
      <c r="V180" s="23">
        <v>14</v>
      </c>
      <c r="W180" s="25">
        <f ca="1">Sprache!$A$131</f>
        <v>0</v>
      </c>
      <c r="X180" s="25">
        <f ca="1">Sprache!$A$126</f>
        <v>0</v>
      </c>
      <c r="Y180" s="25" t="str">
        <f ca="1">Sprache!$A$69</f>
        <v>Front</v>
      </c>
      <c r="Z180" s="25">
        <v>300</v>
      </c>
      <c r="AA180" s="24">
        <v>349</v>
      </c>
      <c r="AB180" s="25"/>
      <c r="AC180" s="26">
        <v>2.1</v>
      </c>
      <c r="AD180" s="54">
        <v>7.4</v>
      </c>
      <c r="AE180" s="25" t="s">
        <v>806</v>
      </c>
      <c r="AF180" s="25" t="str">
        <f ca="1">Sprache!$A$101</f>
        <v>Zestaw (prawy+lewy)</v>
      </c>
      <c r="AG180" s="25" t="s">
        <v>26</v>
      </c>
      <c r="AH180" s="25" t="str">
        <f ca="1">Sprache!$A$117</f>
        <v>Sprężyna biała</v>
      </c>
      <c r="AI180" s="25" t="s">
        <v>26</v>
      </c>
      <c r="AJ180" s="25" t="s">
        <v>26</v>
      </c>
      <c r="AK180" s="25">
        <f>'Material+Limits'!$K$9</f>
        <v>200</v>
      </c>
      <c r="AL180" s="24">
        <v>1200</v>
      </c>
      <c r="AM180" s="30"/>
      <c r="AN180" s="24"/>
      <c r="AO180"/>
      <c r="AR180"/>
      <c r="AS180"/>
      <c r="AT180"/>
      <c r="AU180"/>
      <c r="AV180"/>
    </row>
    <row r="181" spans="1:48" x14ac:dyDescent="0.25">
      <c r="A181" t="str">
        <f t="shared" ca="1" si="5"/>
        <v/>
      </c>
      <c r="B181" t="str">
        <f t="shared" ca="1" si="4"/>
        <v/>
      </c>
      <c r="C181" s="79">
        <f>IF('Material+Limits'!$P$7=TRUE,1,0)</f>
        <v>0</v>
      </c>
      <c r="D181" s="39">
        <f>IF(Daten!$O181+Daten!$P181+Daten!$R181=3,1,0)</f>
        <v>0</v>
      </c>
      <c r="E181" s="184">
        <f ca="1">IF(AND('Material+Limits'!$Q$21=TRUE,Daten!N181=1)=TRUE,1,0)</f>
        <v>0</v>
      </c>
      <c r="F181" s="185">
        <f>IF(AND('Material+Limits'!$Q$25=TRUE,Daten!M181=1)=TRUE,1,0)</f>
        <v>0</v>
      </c>
      <c r="G181" s="185">
        <f>IF(AND('Material+Limits'!$Q$24=TRUE,Daten!L181=1)=TRUE,1,0)</f>
        <v>0</v>
      </c>
      <c r="H181" s="185">
        <f>IF(AND('Material+Limits'!$Q$23=TRUE,Daten!K181=1)=TRUE,1,0)</f>
        <v>0</v>
      </c>
      <c r="I181" s="185">
        <f>IF(AND('Material+Limits'!$Q$22=TRUE,Daten!J181=1)=TRUE,1,0)</f>
        <v>0</v>
      </c>
      <c r="J181" s="155">
        <f>IF(Daten!$U181=13,1,0)</f>
        <v>0</v>
      </c>
      <c r="K181" s="156">
        <f>IF(Daten!$U181&lt;&gt;Daten!$V181,1,IF(Daten!$U181=14,1,0))</f>
        <v>1</v>
      </c>
      <c r="L181" s="156">
        <f>IF(Daten!$U181&lt;&gt;Daten!$V181,1,IF(Daten!$U181=16,1,0))</f>
        <v>0</v>
      </c>
      <c r="M181" s="156">
        <f>IF(Daten!$V181=17,1,0)</f>
        <v>0</v>
      </c>
      <c r="N181" s="157">
        <f ca="1">IF(Daten!$W181=Sprache!$A$60,1,0)</f>
        <v>0</v>
      </c>
      <c r="O181" s="169">
        <f>IF(AND(Daten!$AK181&lt;=KINVARO!$AW$3,Daten!$AL181&gt;=KINVARO!$AW$3)=TRUE,1,0)</f>
        <v>1</v>
      </c>
      <c r="P181" s="170">
        <f>IF(AND(Daten!$Z181&lt;=KINVARO!$AW$4,Daten!$AA181&gt;=KINVARO!$AW$4)=TRUE,1,0)</f>
        <v>0</v>
      </c>
      <c r="R181" s="170">
        <f>IF(AND(Daten!$AC181&lt;='Material+Limits'!$I$58,Daten!$AD181&gt;='Material+Limits'!$I$58)=TRUE,1,0)</f>
        <v>1</v>
      </c>
      <c r="S181" s="29">
        <f ca="1">IF(Daten!$X181=Sprache!$A$125,1,0)</f>
        <v>1</v>
      </c>
      <c r="T181" s="28" t="str">
        <f ca="1">Sprache!$A$57</f>
        <v>Podnośnik T-70</v>
      </c>
      <c r="U181" s="32">
        <v>14</v>
      </c>
      <c r="V181" s="29">
        <v>14</v>
      </c>
      <c r="W181" s="30">
        <f ca="1">Sprache!$A$131</f>
        <v>0</v>
      </c>
      <c r="X181" s="30">
        <f ca="1">Sprache!$A$126</f>
        <v>0</v>
      </c>
      <c r="Y181" s="30" t="str">
        <f ca="1">Sprache!$A$69</f>
        <v>Front</v>
      </c>
      <c r="Z181" s="30">
        <v>300</v>
      </c>
      <c r="AA181" s="28">
        <v>349</v>
      </c>
      <c r="AB181" s="30"/>
      <c r="AC181" s="31">
        <v>2.5</v>
      </c>
      <c r="AD181" s="53">
        <v>8.5</v>
      </c>
      <c r="AE181" s="30" t="s">
        <v>806</v>
      </c>
      <c r="AF181" s="30" t="str">
        <f ca="1">Sprache!$A$101</f>
        <v>Zestaw (prawy+lewy)</v>
      </c>
      <c r="AG181" s="30" t="s">
        <v>26</v>
      </c>
      <c r="AH181" s="30" t="str">
        <f ca="1">Sprache!$A$118</f>
        <v>Sprężyna pomarańczowa</v>
      </c>
      <c r="AI181" s="30" t="s">
        <v>26</v>
      </c>
      <c r="AJ181" s="30" t="s">
        <v>26</v>
      </c>
      <c r="AK181" s="30">
        <f>'Material+Limits'!$K$9</f>
        <v>200</v>
      </c>
      <c r="AL181" s="28">
        <v>1200</v>
      </c>
      <c r="AM181" s="30"/>
      <c r="AN181" s="28"/>
      <c r="AO181"/>
      <c r="AR181"/>
      <c r="AS181"/>
      <c r="AT181"/>
      <c r="AU181"/>
      <c r="AV181"/>
    </row>
    <row r="182" spans="1:48" x14ac:dyDescent="0.25">
      <c r="A182" t="str">
        <f t="shared" ca="1" si="5"/>
        <v/>
      </c>
      <c r="B182" t="str">
        <f t="shared" ca="1" si="4"/>
        <v/>
      </c>
      <c r="C182" s="79">
        <f>IF('Material+Limits'!$P$7=TRUE,1,0)</f>
        <v>0</v>
      </c>
      <c r="D182" s="39">
        <f>IF(Daten!$O182+Daten!$P182+Daten!$R182=3,1,0)</f>
        <v>0</v>
      </c>
      <c r="E182" s="184">
        <f ca="1">IF(AND('Material+Limits'!$Q$21=TRUE,Daten!N182=1)=TRUE,1,0)</f>
        <v>0</v>
      </c>
      <c r="F182" s="185">
        <f>IF(AND('Material+Limits'!$Q$25=TRUE,Daten!M182=1)=TRUE,1,0)</f>
        <v>0</v>
      </c>
      <c r="G182" s="185">
        <f>IF(AND('Material+Limits'!$Q$24=TRUE,Daten!L182=1)=TRUE,1,0)</f>
        <v>0</v>
      </c>
      <c r="H182" s="185">
        <f>IF(AND('Material+Limits'!$Q$23=TRUE,Daten!K182=1)=TRUE,1,0)</f>
        <v>0</v>
      </c>
      <c r="I182" s="185">
        <f>IF(AND('Material+Limits'!$Q$22=TRUE,Daten!J182=1)=TRUE,1,0)</f>
        <v>0</v>
      </c>
      <c r="J182" s="158">
        <f>IF(Daten!$U182=13,1,0)</f>
        <v>0</v>
      </c>
      <c r="K182" s="159">
        <f>IF(Daten!$U182&lt;&gt;Daten!$V182,1,IF(Daten!$U182=14,1,0))</f>
        <v>0</v>
      </c>
      <c r="L182" s="159">
        <f>IF(Daten!$U182&lt;&gt;Daten!$V182,1,IF(Daten!$U182=16,1,0))</f>
        <v>1</v>
      </c>
      <c r="M182" s="159">
        <f>IF(Daten!$V182=17,1,0)</f>
        <v>0</v>
      </c>
      <c r="N182" s="160">
        <f ca="1">IF(Daten!$W182=Sprache!$A$60,1,0)</f>
        <v>0</v>
      </c>
      <c r="O182" s="171">
        <f>IF(AND(Daten!$AK182&lt;=KINVARO!$AW$3,Daten!$AL182&gt;=KINVARO!$AW$3)=TRUE,1,0)</f>
        <v>1</v>
      </c>
      <c r="P182" s="172">
        <f>IF(AND(Daten!$Z182&lt;=KINVARO!$AW$4,Daten!$AA182&gt;=KINVARO!$AW$4)=TRUE,1,0)</f>
        <v>0</v>
      </c>
      <c r="Q182" s="172"/>
      <c r="R182" s="172">
        <f>IF(AND(Daten!$AC182&lt;='Material+Limits'!$I$58,Daten!$AD182&gt;='Material+Limits'!$I$58)=TRUE,1,0)</f>
        <v>1</v>
      </c>
      <c r="S182" s="23">
        <f ca="1">IF(Daten!$X182=Sprache!$A$125,1,0)</f>
        <v>1</v>
      </c>
      <c r="T182" s="24" t="str">
        <f ca="1">Sprache!$A$57</f>
        <v>Podnośnik T-70</v>
      </c>
      <c r="U182" s="27">
        <v>16</v>
      </c>
      <c r="V182" s="23">
        <v>16</v>
      </c>
      <c r="W182" s="25">
        <f ca="1">Sprache!$A$131</f>
        <v>0</v>
      </c>
      <c r="X182" s="25">
        <f ca="1">Sprache!$A$126</f>
        <v>0</v>
      </c>
      <c r="Y182" s="25" t="str">
        <f ca="1">Sprache!$A$69</f>
        <v>Front</v>
      </c>
      <c r="Z182" s="25">
        <v>300</v>
      </c>
      <c r="AA182" s="24">
        <v>349</v>
      </c>
      <c r="AB182" s="25"/>
      <c r="AC182" s="26">
        <v>2.1</v>
      </c>
      <c r="AD182" s="54">
        <v>7.4</v>
      </c>
      <c r="AE182" s="25" t="s">
        <v>807</v>
      </c>
      <c r="AF182" s="25" t="str">
        <f ca="1">Sprache!$A$101</f>
        <v>Zestaw (prawy+lewy)</v>
      </c>
      <c r="AG182" s="25" t="s">
        <v>26</v>
      </c>
      <c r="AH182" s="25" t="str">
        <f ca="1">Sprache!$A$117</f>
        <v>Sprężyna biała</v>
      </c>
      <c r="AI182" s="25" t="s">
        <v>26</v>
      </c>
      <c r="AJ182" s="25" t="s">
        <v>26</v>
      </c>
      <c r="AK182" s="25">
        <f>'Material+Limits'!$K$9</f>
        <v>200</v>
      </c>
      <c r="AL182" s="24">
        <v>1200</v>
      </c>
      <c r="AM182" s="30"/>
      <c r="AN182" s="24"/>
      <c r="AO182"/>
      <c r="AR182"/>
      <c r="AS182"/>
      <c r="AT182"/>
      <c r="AU182"/>
      <c r="AV182"/>
    </row>
    <row r="183" spans="1:48" x14ac:dyDescent="0.25">
      <c r="A183" t="str">
        <f t="shared" ca="1" si="5"/>
        <v/>
      </c>
      <c r="B183" t="str">
        <f t="shared" ca="1" si="4"/>
        <v/>
      </c>
      <c r="C183" s="79">
        <f>IF('Material+Limits'!$P$7=TRUE,1,0)</f>
        <v>0</v>
      </c>
      <c r="D183" s="39">
        <f>IF(Daten!$O183+Daten!$P183+Daten!$R183=3,1,0)</f>
        <v>0</v>
      </c>
      <c r="E183" s="184">
        <f ca="1">IF(AND('Material+Limits'!$Q$21=TRUE,Daten!N183=1)=TRUE,1,0)</f>
        <v>0</v>
      </c>
      <c r="F183" s="185">
        <f>IF(AND('Material+Limits'!$Q$25=TRUE,Daten!M183=1)=TRUE,1,0)</f>
        <v>0</v>
      </c>
      <c r="G183" s="185">
        <f>IF(AND('Material+Limits'!$Q$24=TRUE,Daten!L183=1)=TRUE,1,0)</f>
        <v>0</v>
      </c>
      <c r="H183" s="185">
        <f>IF(AND('Material+Limits'!$Q$23=TRUE,Daten!K183=1)=TRUE,1,0)</f>
        <v>0</v>
      </c>
      <c r="I183" s="185">
        <f>IF(AND('Material+Limits'!$Q$22=TRUE,Daten!J183=1)=TRUE,1,0)</f>
        <v>0</v>
      </c>
      <c r="J183" s="155">
        <f>IF(Daten!$U183=13,1,0)</f>
        <v>0</v>
      </c>
      <c r="K183" s="156">
        <f>IF(Daten!$U183&lt;&gt;Daten!$V183,1,IF(Daten!$U183=14,1,0))</f>
        <v>0</v>
      </c>
      <c r="L183" s="156">
        <f>IF(Daten!$U183&lt;&gt;Daten!$V183,1,IF(Daten!$U183=16,1,0))</f>
        <v>1</v>
      </c>
      <c r="M183" s="156">
        <f>IF(Daten!$V183=17,1,0)</f>
        <v>0</v>
      </c>
      <c r="N183" s="157">
        <f ca="1">IF(Daten!$W183=Sprache!$A$60,1,0)</f>
        <v>0</v>
      </c>
      <c r="O183" s="169">
        <f>IF(AND(Daten!$AK183&lt;=KINVARO!$AW$3,Daten!$AL183&gt;=KINVARO!$AW$3)=TRUE,1,0)</f>
        <v>1</v>
      </c>
      <c r="P183" s="170">
        <f>IF(AND(Daten!$Z183&lt;=KINVARO!$AW$4,Daten!$AA183&gt;=KINVARO!$AW$4)=TRUE,1,0)</f>
        <v>0</v>
      </c>
      <c r="R183" s="170">
        <f>IF(AND(Daten!$AC183&lt;='Material+Limits'!$I$58,Daten!$AD183&gt;='Material+Limits'!$I$58)=TRUE,1,0)</f>
        <v>1</v>
      </c>
      <c r="S183" s="29">
        <f ca="1">IF(Daten!$X183=Sprache!$A$125,1,0)</f>
        <v>1</v>
      </c>
      <c r="T183" s="28" t="str">
        <f ca="1">Sprache!$A$57</f>
        <v>Podnośnik T-70</v>
      </c>
      <c r="U183" s="32">
        <v>16</v>
      </c>
      <c r="V183" s="29">
        <v>16</v>
      </c>
      <c r="W183" s="30">
        <f ca="1">Sprache!$A$131</f>
        <v>0</v>
      </c>
      <c r="X183" s="30">
        <f ca="1">Sprache!$A$126</f>
        <v>0</v>
      </c>
      <c r="Y183" s="30" t="str">
        <f ca="1">Sprache!$A$69</f>
        <v>Front</v>
      </c>
      <c r="Z183" s="30">
        <v>300</v>
      </c>
      <c r="AA183" s="28">
        <v>349</v>
      </c>
      <c r="AB183" s="30"/>
      <c r="AC183" s="31">
        <v>2.5</v>
      </c>
      <c r="AD183" s="53">
        <v>8.5</v>
      </c>
      <c r="AE183" s="30" t="s">
        <v>807</v>
      </c>
      <c r="AF183" s="30" t="str">
        <f ca="1">Sprache!$A$101</f>
        <v>Zestaw (prawy+lewy)</v>
      </c>
      <c r="AG183" s="30" t="s">
        <v>26</v>
      </c>
      <c r="AH183" s="30" t="str">
        <f ca="1">Sprache!$A$118</f>
        <v>Sprężyna pomarańczowa</v>
      </c>
      <c r="AI183" s="30" t="s">
        <v>26</v>
      </c>
      <c r="AJ183" s="30" t="s">
        <v>26</v>
      </c>
      <c r="AK183" s="30">
        <f>'Material+Limits'!$K$9</f>
        <v>200</v>
      </c>
      <c r="AL183" s="28">
        <v>1200</v>
      </c>
      <c r="AM183" s="30"/>
      <c r="AN183" s="28"/>
      <c r="AO183"/>
      <c r="AR183"/>
      <c r="AS183"/>
      <c r="AT183"/>
      <c r="AU183"/>
      <c r="AV183"/>
    </row>
    <row r="184" spans="1:48" x14ac:dyDescent="0.25">
      <c r="A184" t="str">
        <f t="shared" ca="1" si="5"/>
        <v/>
      </c>
      <c r="B184" t="str">
        <f t="shared" ca="1" si="4"/>
        <v/>
      </c>
      <c r="C184" s="79">
        <f>IF('Material+Limits'!$P$7=TRUE,1,0)</f>
        <v>0</v>
      </c>
      <c r="D184" s="39">
        <f>IF(Daten!$O184+Daten!$P184+Daten!$R184=3,1,0)</f>
        <v>0</v>
      </c>
      <c r="E184" s="184">
        <f ca="1">IF(AND('Material+Limits'!$Q$21=TRUE,Daten!N184=1)=TRUE,1,0)</f>
        <v>0</v>
      </c>
      <c r="F184" s="185">
        <f>IF(AND('Material+Limits'!$Q$25=TRUE,Daten!M184=1)=TRUE,1,0)</f>
        <v>0</v>
      </c>
      <c r="G184" s="185">
        <f>IF(AND('Material+Limits'!$Q$24=TRUE,Daten!L184=1)=TRUE,1,0)</f>
        <v>0</v>
      </c>
      <c r="H184" s="185">
        <f>IF(AND('Material+Limits'!$Q$23=TRUE,Daten!K184=1)=TRUE,1,0)</f>
        <v>0</v>
      </c>
      <c r="I184" s="185">
        <f>IF(AND('Material+Limits'!$Q$22=TRUE,Daten!J184=1)=TRUE,1,0)</f>
        <v>0</v>
      </c>
      <c r="J184" s="158">
        <f>IF(Daten!$U184=13,1,0)</f>
        <v>0</v>
      </c>
      <c r="K184" s="159">
        <f>IF(Daten!$U184&lt;&gt;Daten!$V184,1,IF(Daten!$U184=14,1,0))</f>
        <v>0</v>
      </c>
      <c r="L184" s="159">
        <f>IF(Daten!$U184&lt;&gt;Daten!$V184,1,IF(Daten!$U184=16,1,0))</f>
        <v>0</v>
      </c>
      <c r="M184" s="159">
        <f>IF(Daten!$V184=17,1,0)</f>
        <v>1</v>
      </c>
      <c r="N184" s="160">
        <f ca="1">IF(Daten!$W184=Sprache!$A$60,1,0)</f>
        <v>0</v>
      </c>
      <c r="O184" s="171">
        <f>IF(AND(Daten!$AK184&lt;=KINVARO!$AW$3,Daten!$AL184&gt;=KINVARO!$AW$3)=TRUE,1,0)</f>
        <v>1</v>
      </c>
      <c r="P184" s="172">
        <f>IF(AND(Daten!$Z184&lt;=KINVARO!$AW$4,Daten!$AA184&gt;=KINVARO!$AW$4)=TRUE,1,0)</f>
        <v>0</v>
      </c>
      <c r="Q184" s="172"/>
      <c r="R184" s="172">
        <f>IF(AND(Daten!$AC184&lt;='Material+Limits'!$I$58,Daten!$AD184&gt;='Material+Limits'!$I$58)=TRUE,1,0)</f>
        <v>1</v>
      </c>
      <c r="S184" s="23">
        <f ca="1">IF(Daten!$X184=Sprache!$A$125,1,0)</f>
        <v>1</v>
      </c>
      <c r="T184" s="24" t="str">
        <f ca="1">Sprache!$A$57</f>
        <v>Podnośnik T-70</v>
      </c>
      <c r="U184" s="27">
        <v>17</v>
      </c>
      <c r="V184" s="23">
        <v>17</v>
      </c>
      <c r="W184" s="25">
        <f ca="1">Sprache!$A$131</f>
        <v>0</v>
      </c>
      <c r="X184" s="25">
        <f ca="1">Sprache!$A$126</f>
        <v>0</v>
      </c>
      <c r="Y184" s="25" t="str">
        <f ca="1">Sprache!$A$69</f>
        <v>Front</v>
      </c>
      <c r="Z184" s="25">
        <v>300</v>
      </c>
      <c r="AA184" s="24">
        <v>349</v>
      </c>
      <c r="AB184" s="25"/>
      <c r="AC184" s="26">
        <v>2.1</v>
      </c>
      <c r="AD184" s="54">
        <v>7.4</v>
      </c>
      <c r="AE184" s="25" t="s">
        <v>808</v>
      </c>
      <c r="AF184" s="25" t="str">
        <f ca="1">Sprache!$A$101</f>
        <v>Zestaw (prawy+lewy)</v>
      </c>
      <c r="AG184" s="25" t="s">
        <v>26</v>
      </c>
      <c r="AH184" s="25" t="str">
        <f ca="1">Sprache!$A$117</f>
        <v>Sprężyna biała</v>
      </c>
      <c r="AI184" s="25" t="s">
        <v>26</v>
      </c>
      <c r="AJ184" s="25" t="s">
        <v>26</v>
      </c>
      <c r="AK184" s="25">
        <f>'Material+Limits'!$K$9</f>
        <v>200</v>
      </c>
      <c r="AL184" s="24">
        <v>1200</v>
      </c>
      <c r="AM184" s="30"/>
      <c r="AN184" s="24"/>
      <c r="AO184"/>
      <c r="AR184"/>
      <c r="AS184"/>
      <c r="AT184"/>
      <c r="AU184"/>
      <c r="AV184"/>
    </row>
    <row r="185" spans="1:48" s="5" customFormat="1" x14ac:dyDescent="0.25">
      <c r="A185" t="str">
        <f t="shared" ca="1" si="5"/>
        <v/>
      </c>
      <c r="B185" t="str">
        <f t="shared" ca="1" si="4"/>
        <v/>
      </c>
      <c r="C185" s="79">
        <f>IF('Material+Limits'!$P$7=TRUE,1,0)</f>
        <v>0</v>
      </c>
      <c r="D185" s="39">
        <f>IF(Daten!$O185+Daten!$P185+Daten!$R185=3,1,0)</f>
        <v>0</v>
      </c>
      <c r="E185" s="184">
        <f ca="1">IF(AND('Material+Limits'!$Q$21=TRUE,Daten!N185=1)=TRUE,1,0)</f>
        <v>0</v>
      </c>
      <c r="F185" s="185">
        <f>IF(AND('Material+Limits'!$Q$25=TRUE,Daten!M185=1)=TRUE,1,0)</f>
        <v>0</v>
      </c>
      <c r="G185" s="185">
        <f>IF(AND('Material+Limits'!$Q$24=TRUE,Daten!L185=1)=TRUE,1,0)</f>
        <v>0</v>
      </c>
      <c r="H185" s="185">
        <f>IF(AND('Material+Limits'!$Q$23=TRUE,Daten!K185=1)=TRUE,1,0)</f>
        <v>0</v>
      </c>
      <c r="I185" s="185">
        <f>IF(AND('Material+Limits'!$Q$22=TRUE,Daten!J185=1)=TRUE,1,0)</f>
        <v>0</v>
      </c>
      <c r="J185" s="155">
        <f>IF(Daten!$U185=13,1,0)</f>
        <v>0</v>
      </c>
      <c r="K185" s="156">
        <f>IF(Daten!$U185&lt;&gt;Daten!$V185,1,IF(Daten!$U185=14,1,0))</f>
        <v>0</v>
      </c>
      <c r="L185" s="156">
        <f>IF(Daten!$U185&lt;&gt;Daten!$V185,1,IF(Daten!$U185=16,1,0))</f>
        <v>0</v>
      </c>
      <c r="M185" s="156">
        <f>IF(Daten!$V185=17,1,0)</f>
        <v>1</v>
      </c>
      <c r="N185" s="157">
        <f ca="1">IF(Daten!$W185=Sprache!$A$60,1,0)</f>
        <v>0</v>
      </c>
      <c r="O185" s="169">
        <f>IF(AND(Daten!$AK185&lt;=KINVARO!$AW$3,Daten!$AL185&gt;=KINVARO!$AW$3)=TRUE,1,0)</f>
        <v>1</v>
      </c>
      <c r="P185" s="170">
        <f>IF(AND(Daten!$Z185&lt;=KINVARO!$AW$4,Daten!$AA185&gt;=KINVARO!$AW$4)=TRUE,1,0)</f>
        <v>0</v>
      </c>
      <c r="Q185" s="170"/>
      <c r="R185" s="170">
        <f>IF(AND(Daten!$AC185&lt;='Material+Limits'!$I$58,Daten!$AD185&gt;='Material+Limits'!$I$58)=TRUE,1,0)</f>
        <v>1</v>
      </c>
      <c r="S185" s="29">
        <f ca="1">IF(Daten!$X185=Sprache!$A$125,1,0)</f>
        <v>1</v>
      </c>
      <c r="T185" s="28" t="str">
        <f ca="1">Sprache!$A$57</f>
        <v>Podnośnik T-70</v>
      </c>
      <c r="U185" s="32">
        <v>17</v>
      </c>
      <c r="V185" s="29">
        <v>17</v>
      </c>
      <c r="W185" s="30">
        <f ca="1">Sprache!$A$131</f>
        <v>0</v>
      </c>
      <c r="X185" s="30">
        <f ca="1">Sprache!$A$126</f>
        <v>0</v>
      </c>
      <c r="Y185" s="30" t="str">
        <f ca="1">Sprache!$A$69</f>
        <v>Front</v>
      </c>
      <c r="Z185" s="30">
        <v>300</v>
      </c>
      <c r="AA185" s="28">
        <v>349</v>
      </c>
      <c r="AB185" s="30"/>
      <c r="AC185" s="31">
        <v>2.5</v>
      </c>
      <c r="AD185" s="53">
        <v>8.5</v>
      </c>
      <c r="AE185" s="30" t="s">
        <v>808</v>
      </c>
      <c r="AF185" s="30" t="str">
        <f ca="1">Sprache!$A$101</f>
        <v>Zestaw (prawy+lewy)</v>
      </c>
      <c r="AG185" s="30" t="s">
        <v>26</v>
      </c>
      <c r="AH185" s="30" t="str">
        <f ca="1">Sprache!$A$118</f>
        <v>Sprężyna pomarańczowa</v>
      </c>
      <c r="AI185" s="30" t="s">
        <v>26</v>
      </c>
      <c r="AJ185" s="30" t="s">
        <v>26</v>
      </c>
      <c r="AK185" s="30">
        <f>'Material+Limits'!$K$9</f>
        <v>200</v>
      </c>
      <c r="AL185" s="28">
        <v>1200</v>
      </c>
      <c r="AM185" s="30"/>
      <c r="AN185" s="28"/>
    </row>
    <row r="186" spans="1:48" x14ac:dyDescent="0.25">
      <c r="A186" t="str">
        <f t="shared" ca="1" si="5"/>
        <v/>
      </c>
      <c r="B186" t="str">
        <f t="shared" ca="1" si="4"/>
        <v/>
      </c>
      <c r="C186" s="79">
        <f>IF('Material+Limits'!$P$7=TRUE,1,0)</f>
        <v>0</v>
      </c>
      <c r="D186" s="39">
        <f>IF(Daten!$O186+Daten!$P186+Daten!$R186=3,1,0)</f>
        <v>0</v>
      </c>
      <c r="E186" s="184">
        <f ca="1">IF(AND('Material+Limits'!$Q$21=TRUE,Daten!N186=1)=TRUE,1,0)</f>
        <v>1</v>
      </c>
      <c r="F186" s="185">
        <f ca="1">IF(AND('Material+Limits'!$Q$25=TRUE,Daten!M186=1)=TRUE,1,0)</f>
        <v>0</v>
      </c>
      <c r="G186" s="185">
        <f ca="1">IF(AND('Material+Limits'!$Q$24=TRUE,Daten!L186=1)=TRUE,1,0)</f>
        <v>0</v>
      </c>
      <c r="H186" s="185">
        <f ca="1">IF(AND('Material+Limits'!$Q$23=TRUE,Daten!K186=1)=TRUE,1,0)</f>
        <v>0</v>
      </c>
      <c r="I186" s="185">
        <f ca="1">IF(AND('Material+Limits'!$Q$22=TRUE,Daten!J186=1)=TRUE,1,0)</f>
        <v>0</v>
      </c>
      <c r="J186" s="158">
        <f ca="1">IF(Daten!$U186=13,1,0)</f>
        <v>0</v>
      </c>
      <c r="K186" s="159">
        <f ca="1">IF(Daten!$U186&lt;&gt;Daten!$V186,1,IF(Daten!$U186=14,1,0))</f>
        <v>0</v>
      </c>
      <c r="L186" s="159">
        <f ca="1">IF(Daten!$U186&lt;&gt;Daten!$V186,1,IF(Daten!$U186=16,1,0))</f>
        <v>0</v>
      </c>
      <c r="M186" s="159">
        <f ca="1">IF(Daten!$V186=17,1,0)</f>
        <v>0</v>
      </c>
      <c r="N186" s="160">
        <f ca="1">IF(Daten!$W186=Sprache!$A$60,1,0)</f>
        <v>1</v>
      </c>
      <c r="O186" s="173">
        <f>IF(AND(Daten!$AK186&lt;=KINVARO!$AW$3,Daten!$AL186&gt;=KINVARO!$AW$3)=TRUE,1,0)</f>
        <v>1</v>
      </c>
      <c r="P186" s="174">
        <f>IF(AND(Daten!$Z186&lt;=KINVARO!$AW$4,Daten!$AA186&gt;=KINVARO!$AW$4)=TRUE,1,0)</f>
        <v>0</v>
      </c>
      <c r="Q186" s="174"/>
      <c r="R186" s="174">
        <f>IF(AND(Daten!$AC186&lt;='Material+Limits'!$I$58,Daten!$AD186&gt;='Material+Limits'!$I$58)=TRUE,1,0)</f>
        <v>1</v>
      </c>
      <c r="S186" s="38">
        <f ca="1">IF(Daten!$X186=Sprache!$A$125,1,0)</f>
        <v>1</v>
      </c>
      <c r="T186" s="57" t="str">
        <f ca="1">Sprache!$A$57</f>
        <v>Podnośnik T-70</v>
      </c>
      <c r="U186" s="55">
        <f ca="1">Sprache!$A$64</f>
        <v>0</v>
      </c>
      <c r="V186" s="38">
        <f ca="1">Sprache!$A$64</f>
        <v>0</v>
      </c>
      <c r="W186" s="56" t="str">
        <f ca="1">Sprache!$A$60</f>
        <v>Front lity (drewno/płyta)</v>
      </c>
      <c r="X186" s="25">
        <f ca="1">Sprache!$A$126</f>
        <v>0</v>
      </c>
      <c r="Y186" s="56" t="str">
        <f ca="1">Sprache!$A$69</f>
        <v>Front</v>
      </c>
      <c r="Z186" s="56">
        <v>350</v>
      </c>
      <c r="AA186" s="57">
        <v>399</v>
      </c>
      <c r="AB186" s="56"/>
      <c r="AC186" s="58">
        <v>1.8</v>
      </c>
      <c r="AD186" s="59">
        <v>6.3</v>
      </c>
      <c r="AE186" s="56" t="s">
        <v>804</v>
      </c>
      <c r="AF186" s="56" t="str">
        <f ca="1">Sprache!$A$101</f>
        <v>Zestaw (prawy+lewy)</v>
      </c>
      <c r="AG186" s="56" t="s">
        <v>26</v>
      </c>
      <c r="AH186" s="56" t="str">
        <f ca="1">Sprache!$A$117</f>
        <v>Sprężyna biała</v>
      </c>
      <c r="AI186" s="25" t="s">
        <v>26</v>
      </c>
      <c r="AJ186" s="25" t="s">
        <v>26</v>
      </c>
      <c r="AK186" s="56">
        <f>'Material+Limits'!$K$9</f>
        <v>200</v>
      </c>
      <c r="AL186" s="57">
        <v>1200</v>
      </c>
      <c r="AM186" s="30"/>
      <c r="AN186" s="24"/>
      <c r="AO186"/>
      <c r="AR186"/>
      <c r="AS186"/>
      <c r="AT186"/>
      <c r="AU186"/>
      <c r="AV186"/>
    </row>
    <row r="187" spans="1:48" x14ac:dyDescent="0.25">
      <c r="A187" t="str">
        <f t="shared" ca="1" si="5"/>
        <v/>
      </c>
      <c r="B187" t="str">
        <f t="shared" ca="1" si="4"/>
        <v/>
      </c>
      <c r="C187" s="79">
        <f>IF('Material+Limits'!$P$7=TRUE,1,0)</f>
        <v>0</v>
      </c>
      <c r="D187" s="39">
        <f>IF(Daten!$O187+Daten!$P187+Daten!$R187=3,1,0)</f>
        <v>0</v>
      </c>
      <c r="E187" s="184">
        <f ca="1">IF(AND('Material+Limits'!$Q$21=TRUE,Daten!N187=1)=TRUE,1,0)</f>
        <v>1</v>
      </c>
      <c r="F187" s="185">
        <f ca="1">IF(AND('Material+Limits'!$Q$25=TRUE,Daten!M187=1)=TRUE,1,0)</f>
        <v>0</v>
      </c>
      <c r="G187" s="185">
        <f ca="1">IF(AND('Material+Limits'!$Q$24=TRUE,Daten!L187=1)=TRUE,1,0)</f>
        <v>0</v>
      </c>
      <c r="H187" s="185">
        <f ca="1">IF(AND('Material+Limits'!$Q$23=TRUE,Daten!K187=1)=TRUE,1,0)</f>
        <v>0</v>
      </c>
      <c r="I187" s="185">
        <f ca="1">IF(AND('Material+Limits'!$Q$22=TRUE,Daten!J187=1)=TRUE,1,0)</f>
        <v>0</v>
      </c>
      <c r="J187" s="155">
        <f ca="1">IF(Daten!$U187=13,1,0)</f>
        <v>0</v>
      </c>
      <c r="K187" s="156">
        <f ca="1">IF(Daten!$U187&lt;&gt;Daten!$V187,1,IF(Daten!$U187=14,1,0))</f>
        <v>0</v>
      </c>
      <c r="L187" s="156">
        <f ca="1">IF(Daten!$U187&lt;&gt;Daten!$V187,1,IF(Daten!$U187=16,1,0))</f>
        <v>0</v>
      </c>
      <c r="M187" s="156">
        <f ca="1">IF(Daten!$V187=17,1,0)</f>
        <v>0</v>
      </c>
      <c r="N187" s="157">
        <f ca="1">IF(Daten!$W187=Sprache!$A$60,1,0)</f>
        <v>1</v>
      </c>
      <c r="O187" s="169">
        <f>IF(AND(Daten!$AK187&lt;=KINVARO!$AW$3,Daten!$AL187&gt;=KINVARO!$AW$3)=TRUE,1,0)</f>
        <v>1</v>
      </c>
      <c r="P187" s="170">
        <f>IF(AND(Daten!$Z187&lt;=KINVARO!$AW$4,Daten!$AA187&gt;=KINVARO!$AW$4)=TRUE,1,0)</f>
        <v>0</v>
      </c>
      <c r="R187" s="170">
        <f>IF(AND(Daten!$AC187&lt;='Material+Limits'!$I$58,Daten!$AD187&gt;='Material+Limits'!$I$58)=TRUE,1,0)</f>
        <v>1</v>
      </c>
      <c r="S187" s="29">
        <f ca="1">IF(Daten!$X187=Sprache!$A$125,1,0)</f>
        <v>1</v>
      </c>
      <c r="T187" s="28" t="str">
        <f ca="1">Sprache!$A$57</f>
        <v>Podnośnik T-70</v>
      </c>
      <c r="U187" s="32">
        <f ca="1">Sprache!$A$64</f>
        <v>0</v>
      </c>
      <c r="V187" s="29">
        <f ca="1">Sprache!$A$64</f>
        <v>0</v>
      </c>
      <c r="W187" s="30" t="str">
        <f ca="1">Sprache!$A$60</f>
        <v>Front lity (drewno/płyta)</v>
      </c>
      <c r="X187" s="30">
        <f ca="1">Sprache!$A$126</f>
        <v>0</v>
      </c>
      <c r="Y187" s="30" t="str">
        <f ca="1">Sprache!$A$69</f>
        <v>Front</v>
      </c>
      <c r="Z187" s="30">
        <v>350</v>
      </c>
      <c r="AA187" s="28">
        <v>399</v>
      </c>
      <c r="AB187" s="30"/>
      <c r="AC187" s="31">
        <v>2.2999999999999998</v>
      </c>
      <c r="AD187" s="53">
        <v>7.5</v>
      </c>
      <c r="AE187" s="30" t="s">
        <v>804</v>
      </c>
      <c r="AF187" s="30" t="str">
        <f ca="1">Sprache!$A$101</f>
        <v>Zestaw (prawy+lewy)</v>
      </c>
      <c r="AG187" s="30" t="s">
        <v>26</v>
      </c>
      <c r="AH187" s="30" t="str">
        <f ca="1">Sprache!$A$118</f>
        <v>Sprężyna pomarańczowa</v>
      </c>
      <c r="AI187" s="30" t="s">
        <v>26</v>
      </c>
      <c r="AJ187" s="30" t="s">
        <v>26</v>
      </c>
      <c r="AK187" s="30">
        <f>'Material+Limits'!$K$9</f>
        <v>200</v>
      </c>
      <c r="AL187" s="28">
        <v>1200</v>
      </c>
      <c r="AM187" s="30"/>
      <c r="AN187" s="28"/>
      <c r="AO187"/>
      <c r="AR187"/>
      <c r="AS187"/>
      <c r="AT187"/>
      <c r="AU187"/>
      <c r="AV187"/>
    </row>
    <row r="188" spans="1:48" x14ac:dyDescent="0.25">
      <c r="A188" t="str">
        <f t="shared" ca="1" si="5"/>
        <v/>
      </c>
      <c r="B188" t="str">
        <f t="shared" ca="1" si="4"/>
        <v/>
      </c>
      <c r="C188" s="79">
        <f>IF('Material+Limits'!$P$7=TRUE,1,0)</f>
        <v>0</v>
      </c>
      <c r="D188" s="39">
        <f>IF(Daten!$O188+Daten!$P188+Daten!$R188=3,1,0)</f>
        <v>0</v>
      </c>
      <c r="E188" s="184">
        <f ca="1">IF(AND('Material+Limits'!$Q$21=TRUE,Daten!N188=1)=TRUE,1,0)</f>
        <v>0</v>
      </c>
      <c r="F188" s="185">
        <f>IF(AND('Material+Limits'!$Q$25=TRUE,Daten!M188=1)=TRUE,1,0)</f>
        <v>0</v>
      </c>
      <c r="G188" s="185">
        <f>IF(AND('Material+Limits'!$Q$24=TRUE,Daten!L188=1)=TRUE,1,0)</f>
        <v>0</v>
      </c>
      <c r="H188" s="185">
        <f>IF(AND('Material+Limits'!$Q$23=TRUE,Daten!K188=1)=TRUE,1,0)</f>
        <v>0</v>
      </c>
      <c r="I188" s="185">
        <f>IF(AND('Material+Limits'!$Q$22=TRUE,Daten!J188=1)=TRUE,1,0)</f>
        <v>0</v>
      </c>
      <c r="J188" s="158">
        <f>IF(Daten!$U188=13,1,0)</f>
        <v>1</v>
      </c>
      <c r="K188" s="159">
        <f>IF(Daten!$U188&lt;&gt;Daten!$V188,1,IF(Daten!$U188=14,1,0))</f>
        <v>0</v>
      </c>
      <c r="L188" s="159">
        <f>IF(Daten!$U188&lt;&gt;Daten!$V188,1,IF(Daten!$U188=16,1,0))</f>
        <v>0</v>
      </c>
      <c r="M188" s="159">
        <f>IF(Daten!$V188=17,1,0)</f>
        <v>0</v>
      </c>
      <c r="N188" s="160">
        <f ca="1">IF(Daten!$W188=Sprache!$A$60,1,0)</f>
        <v>0</v>
      </c>
      <c r="O188" s="171">
        <f>IF(AND(Daten!$AK188&lt;=KINVARO!$AW$3,Daten!$AL188&gt;=KINVARO!$AW$3)=TRUE,1,0)</f>
        <v>1</v>
      </c>
      <c r="P188" s="172">
        <f>IF(AND(Daten!$Z188&lt;=KINVARO!$AW$4,Daten!$AA188&gt;=KINVARO!$AW$4)=TRUE,1,0)</f>
        <v>0</v>
      </c>
      <c r="Q188" s="172"/>
      <c r="R188" s="172">
        <f>IF(AND(Daten!$AC188&lt;='Material+Limits'!$I$58,Daten!$AD188&gt;='Material+Limits'!$I$58)=TRUE,1,0)</f>
        <v>1</v>
      </c>
      <c r="S188" s="23">
        <f ca="1">IF(Daten!$X188=Sprache!$A$125,1,0)</f>
        <v>1</v>
      </c>
      <c r="T188" s="24" t="str">
        <f ca="1">Sprache!$A$57</f>
        <v>Podnośnik T-70</v>
      </c>
      <c r="U188" s="27">
        <v>13</v>
      </c>
      <c r="V188" s="23">
        <v>13</v>
      </c>
      <c r="W188" s="25">
        <f ca="1">Sprache!$A$131</f>
        <v>0</v>
      </c>
      <c r="X188" s="25">
        <f ca="1">Sprache!$A$126</f>
        <v>0</v>
      </c>
      <c r="Y188" s="25" t="str">
        <f ca="1">Sprache!$A$69</f>
        <v>Front</v>
      </c>
      <c r="Z188" s="25">
        <v>350</v>
      </c>
      <c r="AA188" s="24">
        <v>399</v>
      </c>
      <c r="AB188" s="25"/>
      <c r="AC188" s="26">
        <v>1.8</v>
      </c>
      <c r="AD188" s="54">
        <v>6.3</v>
      </c>
      <c r="AE188" s="25" t="s">
        <v>805</v>
      </c>
      <c r="AF188" s="25" t="str">
        <f ca="1">Sprache!$A$101</f>
        <v>Zestaw (prawy+lewy)</v>
      </c>
      <c r="AG188" s="25" t="s">
        <v>26</v>
      </c>
      <c r="AH188" s="25" t="str">
        <f ca="1">Sprache!$A$117</f>
        <v>Sprężyna biała</v>
      </c>
      <c r="AI188" s="25" t="s">
        <v>26</v>
      </c>
      <c r="AJ188" s="25" t="s">
        <v>26</v>
      </c>
      <c r="AK188" s="25">
        <f>'Material+Limits'!$K$9</f>
        <v>200</v>
      </c>
      <c r="AL188" s="24">
        <v>1200</v>
      </c>
      <c r="AM188" s="30"/>
      <c r="AN188" s="24"/>
      <c r="AO188"/>
      <c r="AR188"/>
      <c r="AS188"/>
      <c r="AT188"/>
      <c r="AU188"/>
      <c r="AV188"/>
    </row>
    <row r="189" spans="1:48" x14ac:dyDescent="0.25">
      <c r="A189" t="str">
        <f t="shared" ca="1" si="5"/>
        <v/>
      </c>
      <c r="B189" t="str">
        <f t="shared" ca="1" si="4"/>
        <v/>
      </c>
      <c r="C189" s="79">
        <f>IF('Material+Limits'!$P$7=TRUE,1,0)</f>
        <v>0</v>
      </c>
      <c r="D189" s="39">
        <f>IF(Daten!$O189+Daten!$P189+Daten!$R189=3,1,0)</f>
        <v>0</v>
      </c>
      <c r="E189" s="184">
        <f ca="1">IF(AND('Material+Limits'!$Q$21=TRUE,Daten!N189=1)=TRUE,1,0)</f>
        <v>0</v>
      </c>
      <c r="F189" s="185">
        <f>IF(AND('Material+Limits'!$Q$25=TRUE,Daten!M189=1)=TRUE,1,0)</f>
        <v>0</v>
      </c>
      <c r="G189" s="185">
        <f>IF(AND('Material+Limits'!$Q$24=TRUE,Daten!L189=1)=TRUE,1,0)</f>
        <v>0</v>
      </c>
      <c r="H189" s="185">
        <f>IF(AND('Material+Limits'!$Q$23=TRUE,Daten!K189=1)=TRUE,1,0)</f>
        <v>0</v>
      </c>
      <c r="I189" s="185">
        <f>IF(AND('Material+Limits'!$Q$22=TRUE,Daten!J189=1)=TRUE,1,0)</f>
        <v>0</v>
      </c>
      <c r="J189" s="155">
        <f>IF(Daten!$U189=13,1,0)</f>
        <v>1</v>
      </c>
      <c r="K189" s="156">
        <f>IF(Daten!$U189&lt;&gt;Daten!$V189,1,IF(Daten!$U189=14,1,0))</f>
        <v>0</v>
      </c>
      <c r="L189" s="156">
        <f>IF(Daten!$U189&lt;&gt;Daten!$V189,1,IF(Daten!$U189=16,1,0))</f>
        <v>0</v>
      </c>
      <c r="M189" s="156">
        <f>IF(Daten!$V189=17,1,0)</f>
        <v>0</v>
      </c>
      <c r="N189" s="157">
        <f ca="1">IF(Daten!$W189=Sprache!$A$60,1,0)</f>
        <v>0</v>
      </c>
      <c r="O189" s="169">
        <f>IF(AND(Daten!$AK189&lt;=KINVARO!$AW$3,Daten!$AL189&gt;=KINVARO!$AW$3)=TRUE,1,0)</f>
        <v>1</v>
      </c>
      <c r="P189" s="170">
        <f>IF(AND(Daten!$Z189&lt;=KINVARO!$AW$4,Daten!$AA189&gt;=KINVARO!$AW$4)=TRUE,1,0)</f>
        <v>0</v>
      </c>
      <c r="R189" s="170">
        <f>IF(AND(Daten!$AC189&lt;='Material+Limits'!$I$58,Daten!$AD189&gt;='Material+Limits'!$I$58)=TRUE,1,0)</f>
        <v>1</v>
      </c>
      <c r="S189" s="29">
        <f ca="1">IF(Daten!$X189=Sprache!$A$125,1,0)</f>
        <v>1</v>
      </c>
      <c r="T189" s="28" t="str">
        <f ca="1">Sprache!$A$57</f>
        <v>Podnośnik T-70</v>
      </c>
      <c r="U189" s="32">
        <v>13</v>
      </c>
      <c r="V189" s="29">
        <v>13</v>
      </c>
      <c r="W189" s="30">
        <f ca="1">Sprache!$A$131</f>
        <v>0</v>
      </c>
      <c r="X189" s="30">
        <f ca="1">Sprache!$A$126</f>
        <v>0</v>
      </c>
      <c r="Y189" s="30" t="str">
        <f ca="1">Sprache!$A$69</f>
        <v>Front</v>
      </c>
      <c r="Z189" s="30">
        <v>350</v>
      </c>
      <c r="AA189" s="28">
        <v>399</v>
      </c>
      <c r="AB189" s="30"/>
      <c r="AC189" s="31">
        <v>2.2999999999999998</v>
      </c>
      <c r="AD189" s="53">
        <v>7.5</v>
      </c>
      <c r="AE189" s="30" t="s">
        <v>805</v>
      </c>
      <c r="AF189" s="30" t="str">
        <f ca="1">Sprache!$A$101</f>
        <v>Zestaw (prawy+lewy)</v>
      </c>
      <c r="AG189" s="30" t="s">
        <v>26</v>
      </c>
      <c r="AH189" s="30" t="str">
        <f ca="1">Sprache!$A$118</f>
        <v>Sprężyna pomarańczowa</v>
      </c>
      <c r="AI189" s="30" t="s">
        <v>26</v>
      </c>
      <c r="AJ189" s="30" t="s">
        <v>26</v>
      </c>
      <c r="AK189" s="30">
        <f>'Material+Limits'!$K$9</f>
        <v>200</v>
      </c>
      <c r="AL189" s="28">
        <v>1200</v>
      </c>
      <c r="AM189" s="30"/>
      <c r="AN189" s="28"/>
      <c r="AO189"/>
      <c r="AR189"/>
      <c r="AS189"/>
      <c r="AT189"/>
      <c r="AU189"/>
      <c r="AV189"/>
    </row>
    <row r="190" spans="1:48" x14ac:dyDescent="0.25">
      <c r="A190" t="str">
        <f t="shared" ca="1" si="5"/>
        <v/>
      </c>
      <c r="B190" t="str">
        <f t="shared" ca="1" si="4"/>
        <v/>
      </c>
      <c r="C190" s="79">
        <f>IF('Material+Limits'!$P$7=TRUE,1,0)</f>
        <v>0</v>
      </c>
      <c r="D190" s="39">
        <f>IF(Daten!$O190+Daten!$P190+Daten!$R190=3,1,0)</f>
        <v>0</v>
      </c>
      <c r="E190" s="184">
        <f ca="1">IF(AND('Material+Limits'!$Q$21=TRUE,Daten!N190=1)=TRUE,1,0)</f>
        <v>0</v>
      </c>
      <c r="F190" s="185">
        <f>IF(AND('Material+Limits'!$Q$25=TRUE,Daten!M190=1)=TRUE,1,0)</f>
        <v>0</v>
      </c>
      <c r="G190" s="185">
        <f>IF(AND('Material+Limits'!$Q$24=TRUE,Daten!L190=1)=TRUE,1,0)</f>
        <v>0</v>
      </c>
      <c r="H190" s="185">
        <f>IF(AND('Material+Limits'!$Q$23=TRUE,Daten!K190=1)=TRUE,1,0)</f>
        <v>0</v>
      </c>
      <c r="I190" s="185">
        <f>IF(AND('Material+Limits'!$Q$22=TRUE,Daten!J190=1)=TRUE,1,0)</f>
        <v>0</v>
      </c>
      <c r="J190" s="158">
        <f>IF(Daten!$U190=13,1,0)</f>
        <v>0</v>
      </c>
      <c r="K190" s="159">
        <f>IF(Daten!$U190&lt;&gt;Daten!$V190,1,IF(Daten!$U190=14,1,0))</f>
        <v>1</v>
      </c>
      <c r="L190" s="159">
        <f>IF(Daten!$U190&lt;&gt;Daten!$V190,1,IF(Daten!$U190=16,1,0))</f>
        <v>0</v>
      </c>
      <c r="M190" s="159">
        <f>IF(Daten!$V190=17,1,0)</f>
        <v>0</v>
      </c>
      <c r="N190" s="160">
        <f ca="1">IF(Daten!$W190=Sprache!$A$60,1,0)</f>
        <v>0</v>
      </c>
      <c r="O190" s="171">
        <f>IF(AND(Daten!$AK190&lt;=KINVARO!$AW$3,Daten!$AL190&gt;=KINVARO!$AW$3)=TRUE,1,0)</f>
        <v>1</v>
      </c>
      <c r="P190" s="172">
        <f>IF(AND(Daten!$Z190&lt;=KINVARO!$AW$4,Daten!$AA190&gt;=KINVARO!$AW$4)=TRUE,1,0)</f>
        <v>0</v>
      </c>
      <c r="Q190" s="172"/>
      <c r="R190" s="172">
        <f>IF(AND(Daten!$AC190&lt;='Material+Limits'!$I$58,Daten!$AD190&gt;='Material+Limits'!$I$58)=TRUE,1,0)</f>
        <v>1</v>
      </c>
      <c r="S190" s="23">
        <f ca="1">IF(Daten!$X190=Sprache!$A$125,1,0)</f>
        <v>1</v>
      </c>
      <c r="T190" s="24" t="str">
        <f ca="1">Sprache!$A$57</f>
        <v>Podnośnik T-70</v>
      </c>
      <c r="U190" s="27">
        <v>14</v>
      </c>
      <c r="V190" s="23">
        <v>14</v>
      </c>
      <c r="W190" s="25">
        <f ca="1">Sprache!$A$131</f>
        <v>0</v>
      </c>
      <c r="X190" s="25">
        <f ca="1">Sprache!$A$126</f>
        <v>0</v>
      </c>
      <c r="Y190" s="25" t="str">
        <f ca="1">Sprache!$A$69</f>
        <v>Front</v>
      </c>
      <c r="Z190" s="25">
        <v>350</v>
      </c>
      <c r="AA190" s="24">
        <v>399</v>
      </c>
      <c r="AB190" s="25"/>
      <c r="AC190" s="26">
        <v>1.8</v>
      </c>
      <c r="AD190" s="54">
        <v>6.3</v>
      </c>
      <c r="AE190" s="25" t="s">
        <v>806</v>
      </c>
      <c r="AF190" s="25" t="str">
        <f ca="1">Sprache!$A$101</f>
        <v>Zestaw (prawy+lewy)</v>
      </c>
      <c r="AG190" s="25" t="s">
        <v>26</v>
      </c>
      <c r="AH190" s="25" t="str">
        <f ca="1">Sprache!$A$117</f>
        <v>Sprężyna biała</v>
      </c>
      <c r="AI190" s="25" t="s">
        <v>26</v>
      </c>
      <c r="AJ190" s="25" t="s">
        <v>26</v>
      </c>
      <c r="AK190" s="25">
        <f>'Material+Limits'!$K$9</f>
        <v>200</v>
      </c>
      <c r="AL190" s="24">
        <v>1200</v>
      </c>
      <c r="AM190" s="30"/>
      <c r="AN190" s="24"/>
      <c r="AO190"/>
      <c r="AR190"/>
      <c r="AS190"/>
      <c r="AT190"/>
      <c r="AU190"/>
      <c r="AV190"/>
    </row>
    <row r="191" spans="1:48" x14ac:dyDescent="0.25">
      <c r="A191" t="str">
        <f t="shared" ca="1" si="5"/>
        <v/>
      </c>
      <c r="B191" t="str">
        <f t="shared" ca="1" si="4"/>
        <v/>
      </c>
      <c r="C191" s="79">
        <f>IF('Material+Limits'!$P$7=TRUE,1,0)</f>
        <v>0</v>
      </c>
      <c r="D191" s="39">
        <f>IF(Daten!$O191+Daten!$P191+Daten!$R191=3,1,0)</f>
        <v>0</v>
      </c>
      <c r="E191" s="184">
        <f ca="1">IF(AND('Material+Limits'!$Q$21=TRUE,Daten!N191=1)=TRUE,1,0)</f>
        <v>0</v>
      </c>
      <c r="F191" s="185">
        <f>IF(AND('Material+Limits'!$Q$25=TRUE,Daten!M191=1)=TRUE,1,0)</f>
        <v>0</v>
      </c>
      <c r="G191" s="185">
        <f>IF(AND('Material+Limits'!$Q$24=TRUE,Daten!L191=1)=TRUE,1,0)</f>
        <v>0</v>
      </c>
      <c r="H191" s="185">
        <f>IF(AND('Material+Limits'!$Q$23=TRUE,Daten!K191=1)=TRUE,1,0)</f>
        <v>0</v>
      </c>
      <c r="I191" s="185">
        <f>IF(AND('Material+Limits'!$Q$22=TRUE,Daten!J191=1)=TRUE,1,0)</f>
        <v>0</v>
      </c>
      <c r="J191" s="155">
        <f>IF(Daten!$U191=13,1,0)</f>
        <v>0</v>
      </c>
      <c r="K191" s="156">
        <f>IF(Daten!$U191&lt;&gt;Daten!$V191,1,IF(Daten!$U191=14,1,0))</f>
        <v>1</v>
      </c>
      <c r="L191" s="156">
        <f>IF(Daten!$U191&lt;&gt;Daten!$V191,1,IF(Daten!$U191=16,1,0))</f>
        <v>0</v>
      </c>
      <c r="M191" s="156">
        <f>IF(Daten!$V191=17,1,0)</f>
        <v>0</v>
      </c>
      <c r="N191" s="157">
        <f ca="1">IF(Daten!$W191=Sprache!$A$60,1,0)</f>
        <v>0</v>
      </c>
      <c r="O191" s="169">
        <f>IF(AND(Daten!$AK191&lt;=KINVARO!$AW$3,Daten!$AL191&gt;=KINVARO!$AW$3)=TRUE,1,0)</f>
        <v>1</v>
      </c>
      <c r="P191" s="170">
        <f>IF(AND(Daten!$Z191&lt;=KINVARO!$AW$4,Daten!$AA191&gt;=KINVARO!$AW$4)=TRUE,1,0)</f>
        <v>0</v>
      </c>
      <c r="R191" s="170">
        <f>IF(AND(Daten!$AC191&lt;='Material+Limits'!$I$58,Daten!$AD191&gt;='Material+Limits'!$I$58)=TRUE,1,0)</f>
        <v>1</v>
      </c>
      <c r="S191" s="29">
        <f ca="1">IF(Daten!$X191=Sprache!$A$125,1,0)</f>
        <v>1</v>
      </c>
      <c r="T191" s="28" t="str">
        <f ca="1">Sprache!$A$57</f>
        <v>Podnośnik T-70</v>
      </c>
      <c r="U191" s="32">
        <v>14</v>
      </c>
      <c r="V191" s="29">
        <v>14</v>
      </c>
      <c r="W191" s="30">
        <f ca="1">Sprache!$A$131</f>
        <v>0</v>
      </c>
      <c r="X191" s="30">
        <f ca="1">Sprache!$A$126</f>
        <v>0</v>
      </c>
      <c r="Y191" s="30" t="str">
        <f ca="1">Sprache!$A$69</f>
        <v>Front</v>
      </c>
      <c r="Z191" s="30">
        <v>350</v>
      </c>
      <c r="AA191" s="28">
        <v>399</v>
      </c>
      <c r="AB191" s="30"/>
      <c r="AC191" s="31">
        <v>2.2999999999999998</v>
      </c>
      <c r="AD191" s="53">
        <v>7.5</v>
      </c>
      <c r="AE191" s="30" t="s">
        <v>806</v>
      </c>
      <c r="AF191" s="30" t="str">
        <f ca="1">Sprache!$A$101</f>
        <v>Zestaw (prawy+lewy)</v>
      </c>
      <c r="AG191" s="30" t="s">
        <v>26</v>
      </c>
      <c r="AH191" s="30" t="str">
        <f ca="1">Sprache!$A$118</f>
        <v>Sprężyna pomarańczowa</v>
      </c>
      <c r="AI191" s="30" t="s">
        <v>26</v>
      </c>
      <c r="AJ191" s="30" t="s">
        <v>26</v>
      </c>
      <c r="AK191" s="30">
        <f>'Material+Limits'!$K$9</f>
        <v>200</v>
      </c>
      <c r="AL191" s="28">
        <v>1200</v>
      </c>
      <c r="AM191" s="30"/>
      <c r="AN191" s="28"/>
      <c r="AO191"/>
      <c r="AR191"/>
      <c r="AS191"/>
      <c r="AT191"/>
      <c r="AU191"/>
      <c r="AV191"/>
    </row>
    <row r="192" spans="1:48" x14ac:dyDescent="0.25">
      <c r="A192" t="str">
        <f t="shared" ca="1" si="5"/>
        <v/>
      </c>
      <c r="B192" t="str">
        <f t="shared" ca="1" si="4"/>
        <v/>
      </c>
      <c r="C192" s="79">
        <f>IF('Material+Limits'!$P$7=TRUE,1,0)</f>
        <v>0</v>
      </c>
      <c r="D192" s="39">
        <f>IF(Daten!$O192+Daten!$P192+Daten!$R192=3,1,0)</f>
        <v>0</v>
      </c>
      <c r="E192" s="184">
        <f ca="1">IF(AND('Material+Limits'!$Q$21=TRUE,Daten!N192=1)=TRUE,1,0)</f>
        <v>0</v>
      </c>
      <c r="F192" s="185">
        <f>IF(AND('Material+Limits'!$Q$25=TRUE,Daten!M192=1)=TRUE,1,0)</f>
        <v>0</v>
      </c>
      <c r="G192" s="185">
        <f>IF(AND('Material+Limits'!$Q$24=TRUE,Daten!L192=1)=TRUE,1,0)</f>
        <v>0</v>
      </c>
      <c r="H192" s="185">
        <f>IF(AND('Material+Limits'!$Q$23=TRUE,Daten!K192=1)=TRUE,1,0)</f>
        <v>0</v>
      </c>
      <c r="I192" s="185">
        <f>IF(AND('Material+Limits'!$Q$22=TRUE,Daten!J192=1)=TRUE,1,0)</f>
        <v>0</v>
      </c>
      <c r="J192" s="158">
        <f>IF(Daten!$U192=13,1,0)</f>
        <v>0</v>
      </c>
      <c r="K192" s="159">
        <f>IF(Daten!$U192&lt;&gt;Daten!$V192,1,IF(Daten!$U192=14,1,0))</f>
        <v>0</v>
      </c>
      <c r="L192" s="159">
        <f>IF(Daten!$U192&lt;&gt;Daten!$V192,1,IF(Daten!$U192=16,1,0))</f>
        <v>1</v>
      </c>
      <c r="M192" s="159">
        <f>IF(Daten!$V192=17,1,0)</f>
        <v>0</v>
      </c>
      <c r="N192" s="160">
        <f ca="1">IF(Daten!$W192=Sprache!$A$60,1,0)</f>
        <v>0</v>
      </c>
      <c r="O192" s="171">
        <f>IF(AND(Daten!$AK192&lt;=KINVARO!$AW$3,Daten!$AL192&gt;=KINVARO!$AW$3)=TRUE,1,0)</f>
        <v>1</v>
      </c>
      <c r="P192" s="172">
        <f>IF(AND(Daten!$Z192&lt;=KINVARO!$AW$4,Daten!$AA192&gt;=KINVARO!$AW$4)=TRUE,1,0)</f>
        <v>0</v>
      </c>
      <c r="Q192" s="172"/>
      <c r="R192" s="172">
        <f>IF(AND(Daten!$AC192&lt;='Material+Limits'!$I$58,Daten!$AD192&gt;='Material+Limits'!$I$58)=TRUE,1,0)</f>
        <v>1</v>
      </c>
      <c r="S192" s="23">
        <f ca="1">IF(Daten!$X192=Sprache!$A$125,1,0)</f>
        <v>1</v>
      </c>
      <c r="T192" s="24" t="str">
        <f ca="1">Sprache!$A$57</f>
        <v>Podnośnik T-70</v>
      </c>
      <c r="U192" s="27">
        <v>16</v>
      </c>
      <c r="V192" s="23">
        <v>16</v>
      </c>
      <c r="W192" s="25">
        <f ca="1">Sprache!$A$131</f>
        <v>0</v>
      </c>
      <c r="X192" s="25">
        <f ca="1">Sprache!$A$126</f>
        <v>0</v>
      </c>
      <c r="Y192" s="25" t="str">
        <f ca="1">Sprache!$A$69</f>
        <v>Front</v>
      </c>
      <c r="Z192" s="25">
        <v>350</v>
      </c>
      <c r="AA192" s="24">
        <v>399</v>
      </c>
      <c r="AB192" s="25"/>
      <c r="AC192" s="26">
        <v>1.8</v>
      </c>
      <c r="AD192" s="54">
        <v>6.3</v>
      </c>
      <c r="AE192" s="25" t="s">
        <v>807</v>
      </c>
      <c r="AF192" s="25" t="str">
        <f ca="1">Sprache!$A$101</f>
        <v>Zestaw (prawy+lewy)</v>
      </c>
      <c r="AG192" s="25" t="s">
        <v>26</v>
      </c>
      <c r="AH192" s="25" t="str">
        <f ca="1">Sprache!$A$117</f>
        <v>Sprężyna biała</v>
      </c>
      <c r="AI192" s="25" t="s">
        <v>26</v>
      </c>
      <c r="AJ192" s="25" t="s">
        <v>26</v>
      </c>
      <c r="AK192" s="25">
        <f>'Material+Limits'!$K$9</f>
        <v>200</v>
      </c>
      <c r="AL192" s="24">
        <v>1200</v>
      </c>
      <c r="AM192" s="30"/>
      <c r="AN192" s="24"/>
      <c r="AO192"/>
      <c r="AR192"/>
      <c r="AS192"/>
      <c r="AT192"/>
      <c r="AU192"/>
      <c r="AV192"/>
    </row>
    <row r="193" spans="1:48" x14ac:dyDescent="0.25">
      <c r="A193" t="str">
        <f t="shared" ca="1" si="5"/>
        <v/>
      </c>
      <c r="B193" t="str">
        <f t="shared" ca="1" si="4"/>
        <v/>
      </c>
      <c r="C193" s="79">
        <f>IF('Material+Limits'!$P$7=TRUE,1,0)</f>
        <v>0</v>
      </c>
      <c r="D193" s="39">
        <f>IF(Daten!$O193+Daten!$P193+Daten!$R193=3,1,0)</f>
        <v>0</v>
      </c>
      <c r="E193" s="184">
        <f ca="1">IF(AND('Material+Limits'!$Q$21=TRUE,Daten!N193=1)=TRUE,1,0)</f>
        <v>0</v>
      </c>
      <c r="F193" s="185">
        <f>IF(AND('Material+Limits'!$Q$25=TRUE,Daten!M193=1)=TRUE,1,0)</f>
        <v>0</v>
      </c>
      <c r="G193" s="185">
        <f>IF(AND('Material+Limits'!$Q$24=TRUE,Daten!L193=1)=TRUE,1,0)</f>
        <v>0</v>
      </c>
      <c r="H193" s="185">
        <f>IF(AND('Material+Limits'!$Q$23=TRUE,Daten!K193=1)=TRUE,1,0)</f>
        <v>0</v>
      </c>
      <c r="I193" s="185">
        <f>IF(AND('Material+Limits'!$Q$22=TRUE,Daten!J193=1)=TRUE,1,0)</f>
        <v>0</v>
      </c>
      <c r="J193" s="155">
        <f>IF(Daten!$U193=13,1,0)</f>
        <v>0</v>
      </c>
      <c r="K193" s="156">
        <f>IF(Daten!$U193&lt;&gt;Daten!$V193,1,IF(Daten!$U193=14,1,0))</f>
        <v>0</v>
      </c>
      <c r="L193" s="156">
        <f>IF(Daten!$U193&lt;&gt;Daten!$V193,1,IF(Daten!$U193=16,1,0))</f>
        <v>1</v>
      </c>
      <c r="M193" s="156">
        <f>IF(Daten!$V193=17,1,0)</f>
        <v>0</v>
      </c>
      <c r="N193" s="157">
        <f ca="1">IF(Daten!$W193=Sprache!$A$60,1,0)</f>
        <v>0</v>
      </c>
      <c r="O193" s="169">
        <f>IF(AND(Daten!$AK193&lt;=KINVARO!$AW$3,Daten!$AL193&gt;=KINVARO!$AW$3)=TRUE,1,0)</f>
        <v>1</v>
      </c>
      <c r="P193" s="170">
        <f>IF(AND(Daten!$Z193&lt;=KINVARO!$AW$4,Daten!$AA193&gt;=KINVARO!$AW$4)=TRUE,1,0)</f>
        <v>0</v>
      </c>
      <c r="R193" s="170">
        <f>IF(AND(Daten!$AC193&lt;='Material+Limits'!$I$58,Daten!$AD193&gt;='Material+Limits'!$I$58)=TRUE,1,0)</f>
        <v>1</v>
      </c>
      <c r="S193" s="29">
        <f ca="1">IF(Daten!$X193=Sprache!$A$125,1,0)</f>
        <v>1</v>
      </c>
      <c r="T193" s="28" t="str">
        <f ca="1">Sprache!$A$57</f>
        <v>Podnośnik T-70</v>
      </c>
      <c r="U193" s="32">
        <v>16</v>
      </c>
      <c r="V193" s="29">
        <v>16</v>
      </c>
      <c r="W193" s="30">
        <f ca="1">Sprache!$A$131</f>
        <v>0</v>
      </c>
      <c r="X193" s="30">
        <f ca="1">Sprache!$A$126</f>
        <v>0</v>
      </c>
      <c r="Y193" s="30" t="str">
        <f ca="1">Sprache!$A$69</f>
        <v>Front</v>
      </c>
      <c r="Z193" s="30">
        <v>350</v>
      </c>
      <c r="AA193" s="28">
        <v>399</v>
      </c>
      <c r="AB193" s="30"/>
      <c r="AC193" s="31">
        <v>2.2999999999999998</v>
      </c>
      <c r="AD193" s="53">
        <v>7.5</v>
      </c>
      <c r="AE193" s="30" t="s">
        <v>807</v>
      </c>
      <c r="AF193" s="30" t="str">
        <f ca="1">Sprache!$A$101</f>
        <v>Zestaw (prawy+lewy)</v>
      </c>
      <c r="AG193" s="30" t="s">
        <v>26</v>
      </c>
      <c r="AH193" s="30" t="str">
        <f ca="1">Sprache!$A$118</f>
        <v>Sprężyna pomarańczowa</v>
      </c>
      <c r="AI193" s="30" t="s">
        <v>26</v>
      </c>
      <c r="AJ193" s="30" t="s">
        <v>26</v>
      </c>
      <c r="AK193" s="30">
        <f>'Material+Limits'!$K$9</f>
        <v>200</v>
      </c>
      <c r="AL193" s="28">
        <v>1200</v>
      </c>
      <c r="AM193" s="30"/>
      <c r="AN193" s="28"/>
      <c r="AO193"/>
      <c r="AR193"/>
      <c r="AS193"/>
      <c r="AT193"/>
      <c r="AU193"/>
      <c r="AV193"/>
    </row>
    <row r="194" spans="1:48" x14ac:dyDescent="0.25">
      <c r="A194" t="str">
        <f t="shared" ca="1" si="5"/>
        <v/>
      </c>
      <c r="B194" t="str">
        <f t="shared" ref="B194:B257" ca="1" si="6">IF(F194+G194+H194+I194+D194+E194=2,1,"")</f>
        <v/>
      </c>
      <c r="C194" s="79">
        <f>IF('Material+Limits'!$P$7=TRUE,1,0)</f>
        <v>0</v>
      </c>
      <c r="D194" s="39">
        <f>IF(Daten!$O194+Daten!$P194+Daten!$R194=3,1,0)</f>
        <v>0</v>
      </c>
      <c r="E194" s="184">
        <f ca="1">IF(AND('Material+Limits'!$Q$21=TRUE,Daten!N194=1)=TRUE,1,0)</f>
        <v>0</v>
      </c>
      <c r="F194" s="185">
        <f>IF(AND('Material+Limits'!$Q$25=TRUE,Daten!M194=1)=TRUE,1,0)</f>
        <v>0</v>
      </c>
      <c r="G194" s="185">
        <f>IF(AND('Material+Limits'!$Q$24=TRUE,Daten!L194=1)=TRUE,1,0)</f>
        <v>0</v>
      </c>
      <c r="H194" s="185">
        <f>IF(AND('Material+Limits'!$Q$23=TRUE,Daten!K194=1)=TRUE,1,0)</f>
        <v>0</v>
      </c>
      <c r="I194" s="185">
        <f>IF(AND('Material+Limits'!$Q$22=TRUE,Daten!J194=1)=TRUE,1,0)</f>
        <v>0</v>
      </c>
      <c r="J194" s="158">
        <f>IF(Daten!$U194=13,1,0)</f>
        <v>0</v>
      </c>
      <c r="K194" s="159">
        <f>IF(Daten!$U194&lt;&gt;Daten!$V194,1,IF(Daten!$U194=14,1,0))</f>
        <v>0</v>
      </c>
      <c r="L194" s="159">
        <f>IF(Daten!$U194&lt;&gt;Daten!$V194,1,IF(Daten!$U194=16,1,0))</f>
        <v>0</v>
      </c>
      <c r="M194" s="159">
        <f>IF(Daten!$V194=17,1,0)</f>
        <v>1</v>
      </c>
      <c r="N194" s="160">
        <f ca="1">IF(Daten!$W194=Sprache!$A$60,1,0)</f>
        <v>0</v>
      </c>
      <c r="O194" s="171">
        <f>IF(AND(Daten!$AK194&lt;=KINVARO!$AW$3,Daten!$AL194&gt;=KINVARO!$AW$3)=TRUE,1,0)</f>
        <v>1</v>
      </c>
      <c r="P194" s="172">
        <f>IF(AND(Daten!$Z194&lt;=KINVARO!$AW$4,Daten!$AA194&gt;=KINVARO!$AW$4)=TRUE,1,0)</f>
        <v>0</v>
      </c>
      <c r="Q194" s="172"/>
      <c r="R194" s="172">
        <f>IF(AND(Daten!$AC194&lt;='Material+Limits'!$I$58,Daten!$AD194&gt;='Material+Limits'!$I$58)=TRUE,1,0)</f>
        <v>1</v>
      </c>
      <c r="S194" s="23">
        <f ca="1">IF(Daten!$X194=Sprache!$A$125,1,0)</f>
        <v>1</v>
      </c>
      <c r="T194" s="24" t="str">
        <f ca="1">Sprache!$A$57</f>
        <v>Podnośnik T-70</v>
      </c>
      <c r="U194" s="27">
        <v>17</v>
      </c>
      <c r="V194" s="23">
        <v>17</v>
      </c>
      <c r="W194" s="25">
        <f ca="1">Sprache!$A$131</f>
        <v>0</v>
      </c>
      <c r="X194" s="25">
        <f ca="1">Sprache!$A$126</f>
        <v>0</v>
      </c>
      <c r="Y194" s="25" t="str">
        <f ca="1">Sprache!$A$69</f>
        <v>Front</v>
      </c>
      <c r="Z194" s="25">
        <v>350</v>
      </c>
      <c r="AA194" s="24">
        <v>399</v>
      </c>
      <c r="AB194" s="25"/>
      <c r="AC194" s="26">
        <v>1.8</v>
      </c>
      <c r="AD194" s="54">
        <v>6.3</v>
      </c>
      <c r="AE194" s="25" t="s">
        <v>808</v>
      </c>
      <c r="AF194" s="25" t="str">
        <f ca="1">Sprache!$A$101</f>
        <v>Zestaw (prawy+lewy)</v>
      </c>
      <c r="AG194" s="25" t="s">
        <v>26</v>
      </c>
      <c r="AH194" s="25" t="str">
        <f ca="1">Sprache!$A$117</f>
        <v>Sprężyna biała</v>
      </c>
      <c r="AI194" s="25" t="s">
        <v>26</v>
      </c>
      <c r="AJ194" s="25" t="s">
        <v>26</v>
      </c>
      <c r="AK194" s="25">
        <f>'Material+Limits'!$K$9</f>
        <v>200</v>
      </c>
      <c r="AL194" s="24">
        <v>1200</v>
      </c>
      <c r="AM194" s="30"/>
      <c r="AN194" s="24"/>
      <c r="AO194"/>
      <c r="AR194"/>
      <c r="AS194"/>
      <c r="AT194"/>
      <c r="AU194"/>
      <c r="AV194"/>
    </row>
    <row r="195" spans="1:48" s="5" customFormat="1" x14ac:dyDescent="0.25">
      <c r="A195" t="str">
        <f t="shared" ref="A195:A258" ca="1" si="7">IF(E195+F195+G195+H195+I195+C195+D195=3,1,"")</f>
        <v/>
      </c>
      <c r="B195" t="str">
        <f t="shared" ca="1" si="6"/>
        <v/>
      </c>
      <c r="C195" s="79">
        <f>IF('Material+Limits'!$P$7=TRUE,1,0)</f>
        <v>0</v>
      </c>
      <c r="D195" s="39">
        <f>IF(Daten!$O195+Daten!$P195+Daten!$R195=3,1,0)</f>
        <v>0</v>
      </c>
      <c r="E195" s="184">
        <f ca="1">IF(AND('Material+Limits'!$Q$21=TRUE,Daten!N195=1)=TRUE,1,0)</f>
        <v>0</v>
      </c>
      <c r="F195" s="185">
        <f>IF(AND('Material+Limits'!$Q$25=TRUE,Daten!M195=1)=TRUE,1,0)</f>
        <v>0</v>
      </c>
      <c r="G195" s="185">
        <f>IF(AND('Material+Limits'!$Q$24=TRUE,Daten!L195=1)=TRUE,1,0)</f>
        <v>0</v>
      </c>
      <c r="H195" s="185">
        <f>IF(AND('Material+Limits'!$Q$23=TRUE,Daten!K195=1)=TRUE,1,0)</f>
        <v>0</v>
      </c>
      <c r="I195" s="185">
        <f>IF(AND('Material+Limits'!$Q$22=TRUE,Daten!J195=1)=TRUE,1,0)</f>
        <v>0</v>
      </c>
      <c r="J195" s="155">
        <f>IF(Daten!$U195=13,1,0)</f>
        <v>0</v>
      </c>
      <c r="K195" s="156">
        <f>IF(Daten!$U195&lt;&gt;Daten!$V195,1,IF(Daten!$U195=14,1,0))</f>
        <v>0</v>
      </c>
      <c r="L195" s="156">
        <f>IF(Daten!$U195&lt;&gt;Daten!$V195,1,IF(Daten!$U195=16,1,0))</f>
        <v>0</v>
      </c>
      <c r="M195" s="156">
        <f>IF(Daten!$V195=17,1,0)</f>
        <v>1</v>
      </c>
      <c r="N195" s="157">
        <f ca="1">IF(Daten!$W195=Sprache!$A$60,1,0)</f>
        <v>0</v>
      </c>
      <c r="O195" s="169">
        <f>IF(AND(Daten!$AK195&lt;=KINVARO!$AW$3,Daten!$AL195&gt;=KINVARO!$AW$3)=TRUE,1,0)</f>
        <v>1</v>
      </c>
      <c r="P195" s="170">
        <f>IF(AND(Daten!$Z195&lt;=KINVARO!$AW$4,Daten!$AA195&gt;=KINVARO!$AW$4)=TRUE,1,0)</f>
        <v>0</v>
      </c>
      <c r="Q195" s="170"/>
      <c r="R195" s="170">
        <f>IF(AND(Daten!$AC195&lt;='Material+Limits'!$I$58,Daten!$AD195&gt;='Material+Limits'!$I$58)=TRUE,1,0)</f>
        <v>1</v>
      </c>
      <c r="S195" s="29">
        <f ca="1">IF(Daten!$X195=Sprache!$A$125,1,0)</f>
        <v>1</v>
      </c>
      <c r="T195" s="28" t="str">
        <f ca="1">Sprache!$A$57</f>
        <v>Podnośnik T-70</v>
      </c>
      <c r="U195" s="32">
        <v>17</v>
      </c>
      <c r="V195" s="29">
        <v>17</v>
      </c>
      <c r="W195" s="30">
        <f ca="1">Sprache!$A$131</f>
        <v>0</v>
      </c>
      <c r="X195" s="30">
        <f ca="1">Sprache!$A$126</f>
        <v>0</v>
      </c>
      <c r="Y195" s="30" t="str">
        <f ca="1">Sprache!$A$69</f>
        <v>Front</v>
      </c>
      <c r="Z195" s="30">
        <v>350</v>
      </c>
      <c r="AA195" s="28">
        <v>399</v>
      </c>
      <c r="AB195" s="30"/>
      <c r="AC195" s="31">
        <v>2.2999999999999998</v>
      </c>
      <c r="AD195" s="53">
        <v>7.5</v>
      </c>
      <c r="AE195" s="30" t="s">
        <v>808</v>
      </c>
      <c r="AF195" s="30" t="str">
        <f ca="1">Sprache!$A$101</f>
        <v>Zestaw (prawy+lewy)</v>
      </c>
      <c r="AG195" s="30" t="s">
        <v>26</v>
      </c>
      <c r="AH195" s="30" t="str">
        <f ca="1">Sprache!$A$118</f>
        <v>Sprężyna pomarańczowa</v>
      </c>
      <c r="AI195" s="30" t="s">
        <v>26</v>
      </c>
      <c r="AJ195" s="30" t="s">
        <v>26</v>
      </c>
      <c r="AK195" s="30">
        <f>'Material+Limits'!$K$9</f>
        <v>200</v>
      </c>
      <c r="AL195" s="28">
        <v>1200</v>
      </c>
      <c r="AM195" s="30"/>
      <c r="AN195" s="28"/>
    </row>
    <row r="196" spans="1:48" x14ac:dyDescent="0.25">
      <c r="A196" t="str">
        <f t="shared" ca="1" si="7"/>
        <v/>
      </c>
      <c r="B196" t="str">
        <f t="shared" ca="1" si="6"/>
        <v/>
      </c>
      <c r="C196" s="79">
        <f>IF('Material+Limits'!$P$7=TRUE,1,0)</f>
        <v>0</v>
      </c>
      <c r="D196" s="39">
        <f>IF(Daten!$O196+Daten!$P196+Daten!$R196=3,1,0)</f>
        <v>0</v>
      </c>
      <c r="E196" s="184">
        <f ca="1">IF(AND('Material+Limits'!$Q$21=TRUE,Daten!N196=1)=TRUE,1,0)</f>
        <v>1</v>
      </c>
      <c r="F196" s="185">
        <f ca="1">IF(AND('Material+Limits'!$Q$25=TRUE,Daten!M196=1)=TRUE,1,0)</f>
        <v>0</v>
      </c>
      <c r="G196" s="185">
        <f ca="1">IF(AND('Material+Limits'!$Q$24=TRUE,Daten!L196=1)=TRUE,1,0)</f>
        <v>0</v>
      </c>
      <c r="H196" s="185">
        <f ca="1">IF(AND('Material+Limits'!$Q$23=TRUE,Daten!K196=1)=TRUE,1,0)</f>
        <v>0</v>
      </c>
      <c r="I196" s="185">
        <f ca="1">IF(AND('Material+Limits'!$Q$22=TRUE,Daten!J196=1)=TRUE,1,0)</f>
        <v>0</v>
      </c>
      <c r="J196" s="158">
        <f ca="1">IF(Daten!$U196=13,1,0)</f>
        <v>0</v>
      </c>
      <c r="K196" s="159">
        <f ca="1">IF(Daten!$U196&lt;&gt;Daten!$V196,1,IF(Daten!$U196=14,1,0))</f>
        <v>0</v>
      </c>
      <c r="L196" s="159">
        <f ca="1">IF(Daten!$U196&lt;&gt;Daten!$V196,1,IF(Daten!$U196=16,1,0))</f>
        <v>0</v>
      </c>
      <c r="M196" s="159">
        <f ca="1">IF(Daten!$V196=17,1,0)</f>
        <v>0</v>
      </c>
      <c r="N196" s="160">
        <f ca="1">IF(Daten!$W196=Sprache!$A$60,1,0)</f>
        <v>1</v>
      </c>
      <c r="O196" s="173">
        <f>IF(AND(Daten!$AK196&lt;=KINVARO!$AW$3,Daten!$AL196&gt;=KINVARO!$AW$3)=TRUE,1,0)</f>
        <v>1</v>
      </c>
      <c r="P196" s="174">
        <f>IF(AND(Daten!$Z196&lt;=KINVARO!$AW$4,Daten!$AA196&gt;=KINVARO!$AW$4)=TRUE,1,0)</f>
        <v>0</v>
      </c>
      <c r="Q196" s="174"/>
      <c r="R196" s="174">
        <f>IF(AND(Daten!$AC196&lt;='Material+Limits'!$I$58,Daten!$AD196&gt;='Material+Limits'!$I$58)=TRUE,1,0)</f>
        <v>0</v>
      </c>
      <c r="S196" s="38">
        <f ca="1">IF(Daten!$X196=Sprache!$A$125,1,0)</f>
        <v>1</v>
      </c>
      <c r="T196" s="57" t="str">
        <f ca="1">Sprache!$A$57</f>
        <v>Podnośnik T-70</v>
      </c>
      <c r="U196" s="55">
        <f ca="1">Sprache!$A$64</f>
        <v>0</v>
      </c>
      <c r="V196" s="38">
        <f ca="1">Sprache!$A$64</f>
        <v>0</v>
      </c>
      <c r="W196" s="56" t="str">
        <f ca="1">Sprache!$A$60</f>
        <v>Front lity (drewno/płyta)</v>
      </c>
      <c r="X196" s="25">
        <f ca="1">Sprache!$A$126</f>
        <v>0</v>
      </c>
      <c r="Y196" s="56" t="str">
        <f ca="1">Sprache!$A$69</f>
        <v>Front</v>
      </c>
      <c r="Z196" s="56">
        <v>400</v>
      </c>
      <c r="AA196" s="57">
        <v>449</v>
      </c>
      <c r="AB196" s="56"/>
      <c r="AC196" s="58">
        <v>1.7</v>
      </c>
      <c r="AD196" s="59">
        <v>5.4</v>
      </c>
      <c r="AE196" s="56" t="s">
        <v>804</v>
      </c>
      <c r="AF196" s="56" t="str">
        <f ca="1">Sprache!$A$101</f>
        <v>Zestaw (prawy+lewy)</v>
      </c>
      <c r="AG196" s="56" t="s">
        <v>26</v>
      </c>
      <c r="AH196" s="56" t="str">
        <f ca="1">Sprache!$A$117</f>
        <v>Sprężyna biała</v>
      </c>
      <c r="AI196" s="25" t="s">
        <v>26</v>
      </c>
      <c r="AJ196" s="25" t="s">
        <v>26</v>
      </c>
      <c r="AK196" s="56">
        <f>'Material+Limits'!$K$9</f>
        <v>200</v>
      </c>
      <c r="AL196" s="57">
        <v>1200</v>
      </c>
      <c r="AM196" s="30"/>
      <c r="AN196" s="24"/>
      <c r="AO196"/>
      <c r="AR196"/>
      <c r="AS196"/>
      <c r="AT196"/>
      <c r="AU196"/>
      <c r="AV196"/>
    </row>
    <row r="197" spans="1:48" x14ac:dyDescent="0.25">
      <c r="A197" t="str">
        <f t="shared" ca="1" si="7"/>
        <v/>
      </c>
      <c r="B197" t="str">
        <f t="shared" ca="1" si="6"/>
        <v/>
      </c>
      <c r="C197" s="79">
        <f>IF('Material+Limits'!$P$7=TRUE,1,0)</f>
        <v>0</v>
      </c>
      <c r="D197" s="39">
        <f>IF(Daten!$O197+Daten!$P197+Daten!$R197=3,1,0)</f>
        <v>0</v>
      </c>
      <c r="E197" s="184">
        <f ca="1">IF(AND('Material+Limits'!$Q$21=TRUE,Daten!N197=1)=TRUE,1,0)</f>
        <v>1</v>
      </c>
      <c r="F197" s="185">
        <f ca="1">IF(AND('Material+Limits'!$Q$25=TRUE,Daten!M197=1)=TRUE,1,0)</f>
        <v>0</v>
      </c>
      <c r="G197" s="185">
        <f ca="1">IF(AND('Material+Limits'!$Q$24=TRUE,Daten!L197=1)=TRUE,1,0)</f>
        <v>0</v>
      </c>
      <c r="H197" s="185">
        <f ca="1">IF(AND('Material+Limits'!$Q$23=TRUE,Daten!K197=1)=TRUE,1,0)</f>
        <v>0</v>
      </c>
      <c r="I197" s="185">
        <f ca="1">IF(AND('Material+Limits'!$Q$22=TRUE,Daten!J197=1)=TRUE,1,0)</f>
        <v>0</v>
      </c>
      <c r="J197" s="155">
        <f ca="1">IF(Daten!$U197=13,1,0)</f>
        <v>0</v>
      </c>
      <c r="K197" s="156">
        <f ca="1">IF(Daten!$U197&lt;&gt;Daten!$V197,1,IF(Daten!$U197=14,1,0))</f>
        <v>0</v>
      </c>
      <c r="L197" s="156">
        <f ca="1">IF(Daten!$U197&lt;&gt;Daten!$V197,1,IF(Daten!$U197=16,1,0))</f>
        <v>0</v>
      </c>
      <c r="M197" s="156">
        <f ca="1">IF(Daten!$V197=17,1,0)</f>
        <v>0</v>
      </c>
      <c r="N197" s="157">
        <f ca="1">IF(Daten!$W197=Sprache!$A$60,1,0)</f>
        <v>1</v>
      </c>
      <c r="O197" s="169">
        <f>IF(AND(Daten!$AK197&lt;=KINVARO!$AW$3,Daten!$AL197&gt;=KINVARO!$AW$3)=TRUE,1,0)</f>
        <v>1</v>
      </c>
      <c r="P197" s="170">
        <f>IF(AND(Daten!$Z197&lt;=KINVARO!$AW$4,Daten!$AA197&gt;=KINVARO!$AW$4)=TRUE,1,0)</f>
        <v>0</v>
      </c>
      <c r="R197" s="170">
        <f>IF(AND(Daten!$AC197&lt;='Material+Limits'!$I$58,Daten!$AD197&gt;='Material+Limits'!$I$58)=TRUE,1,0)</f>
        <v>1</v>
      </c>
      <c r="S197" s="29">
        <f ca="1">IF(Daten!$X197=Sprache!$A$125,1,0)</f>
        <v>1</v>
      </c>
      <c r="T197" s="28" t="str">
        <f ca="1">Sprache!$A$57</f>
        <v>Podnośnik T-70</v>
      </c>
      <c r="U197" s="32">
        <f ca="1">Sprache!$A$64</f>
        <v>0</v>
      </c>
      <c r="V197" s="29">
        <f ca="1">Sprache!$A$64</f>
        <v>0</v>
      </c>
      <c r="W197" s="30" t="str">
        <f ca="1">Sprache!$A$60</f>
        <v>Front lity (drewno/płyta)</v>
      </c>
      <c r="X197" s="30">
        <f ca="1">Sprache!$A$126</f>
        <v>0</v>
      </c>
      <c r="Y197" s="30" t="str">
        <f ca="1">Sprache!$A$69</f>
        <v>Front</v>
      </c>
      <c r="Z197" s="30">
        <v>400</v>
      </c>
      <c r="AA197" s="28">
        <v>449</v>
      </c>
      <c r="AB197" s="30"/>
      <c r="AC197" s="31">
        <v>2.1</v>
      </c>
      <c r="AD197" s="53">
        <v>6.8</v>
      </c>
      <c r="AE197" s="30" t="s">
        <v>804</v>
      </c>
      <c r="AF197" s="30" t="str">
        <f ca="1">Sprache!$A$101</f>
        <v>Zestaw (prawy+lewy)</v>
      </c>
      <c r="AG197" s="30" t="s">
        <v>26</v>
      </c>
      <c r="AH197" s="30" t="str">
        <f ca="1">Sprache!$A$118</f>
        <v>Sprężyna pomarańczowa</v>
      </c>
      <c r="AI197" s="30" t="s">
        <v>26</v>
      </c>
      <c r="AJ197" s="30" t="s">
        <v>26</v>
      </c>
      <c r="AK197" s="30">
        <f>'Material+Limits'!$K$9</f>
        <v>200</v>
      </c>
      <c r="AL197" s="28">
        <v>1200</v>
      </c>
      <c r="AM197" s="30"/>
      <c r="AN197" s="28"/>
      <c r="AO197"/>
      <c r="AR197"/>
      <c r="AS197"/>
      <c r="AT197"/>
      <c r="AU197"/>
      <c r="AV197"/>
    </row>
    <row r="198" spans="1:48" x14ac:dyDescent="0.25">
      <c r="A198" t="str">
        <f t="shared" ca="1" si="7"/>
        <v/>
      </c>
      <c r="B198" t="str">
        <f t="shared" ca="1" si="6"/>
        <v/>
      </c>
      <c r="C198" s="79">
        <f>IF('Material+Limits'!$P$7=TRUE,1,0)</f>
        <v>0</v>
      </c>
      <c r="D198" s="39">
        <f>IF(Daten!$O198+Daten!$P198+Daten!$R198=3,1,0)</f>
        <v>0</v>
      </c>
      <c r="E198" s="184">
        <f ca="1">IF(AND('Material+Limits'!$Q$21=TRUE,Daten!N198=1)=TRUE,1,0)</f>
        <v>0</v>
      </c>
      <c r="F198" s="185">
        <f>IF(AND('Material+Limits'!$Q$25=TRUE,Daten!M198=1)=TRUE,1,0)</f>
        <v>0</v>
      </c>
      <c r="G198" s="185">
        <f>IF(AND('Material+Limits'!$Q$24=TRUE,Daten!L198=1)=TRUE,1,0)</f>
        <v>0</v>
      </c>
      <c r="H198" s="185">
        <f>IF(AND('Material+Limits'!$Q$23=TRUE,Daten!K198=1)=TRUE,1,0)</f>
        <v>0</v>
      </c>
      <c r="I198" s="185">
        <f>IF(AND('Material+Limits'!$Q$22=TRUE,Daten!J198=1)=TRUE,1,0)</f>
        <v>0</v>
      </c>
      <c r="J198" s="158">
        <f>IF(Daten!$U198=13,1,0)</f>
        <v>1</v>
      </c>
      <c r="K198" s="159">
        <f>IF(Daten!$U198&lt;&gt;Daten!$V198,1,IF(Daten!$U198=14,1,0))</f>
        <v>0</v>
      </c>
      <c r="L198" s="159">
        <f>IF(Daten!$U198&lt;&gt;Daten!$V198,1,IF(Daten!$U198=16,1,0))</f>
        <v>0</v>
      </c>
      <c r="M198" s="159">
        <f>IF(Daten!$V198=17,1,0)</f>
        <v>0</v>
      </c>
      <c r="N198" s="160">
        <f ca="1">IF(Daten!$W198=Sprache!$A$60,1,0)</f>
        <v>0</v>
      </c>
      <c r="O198" s="171">
        <f>IF(AND(Daten!$AK198&lt;=KINVARO!$AW$3,Daten!$AL198&gt;=KINVARO!$AW$3)=TRUE,1,0)</f>
        <v>1</v>
      </c>
      <c r="P198" s="172">
        <f>IF(AND(Daten!$Z198&lt;=KINVARO!$AW$4,Daten!$AA198&gt;=KINVARO!$AW$4)=TRUE,1,0)</f>
        <v>0</v>
      </c>
      <c r="Q198" s="172"/>
      <c r="R198" s="172">
        <f>IF(AND(Daten!$AC198&lt;='Material+Limits'!$I$58,Daten!$AD198&gt;='Material+Limits'!$I$58)=TRUE,1,0)</f>
        <v>0</v>
      </c>
      <c r="S198" s="23">
        <f ca="1">IF(Daten!$X198=Sprache!$A$125,1,0)</f>
        <v>1</v>
      </c>
      <c r="T198" s="24" t="str">
        <f ca="1">Sprache!$A$57</f>
        <v>Podnośnik T-70</v>
      </c>
      <c r="U198" s="27">
        <v>13</v>
      </c>
      <c r="V198" s="23">
        <v>13</v>
      </c>
      <c r="W198" s="25">
        <f ca="1">Sprache!$A$131</f>
        <v>0</v>
      </c>
      <c r="X198" s="25">
        <f ca="1">Sprache!$A$126</f>
        <v>0</v>
      </c>
      <c r="Y198" s="25" t="str">
        <f ca="1">Sprache!$A$69</f>
        <v>Front</v>
      </c>
      <c r="Z198" s="25">
        <v>400</v>
      </c>
      <c r="AA198" s="24">
        <v>449</v>
      </c>
      <c r="AB198" s="25"/>
      <c r="AC198" s="26">
        <v>1.7</v>
      </c>
      <c r="AD198" s="54">
        <v>5.4</v>
      </c>
      <c r="AE198" s="25" t="s">
        <v>805</v>
      </c>
      <c r="AF198" s="25" t="str">
        <f ca="1">Sprache!$A$101</f>
        <v>Zestaw (prawy+lewy)</v>
      </c>
      <c r="AG198" s="25" t="s">
        <v>26</v>
      </c>
      <c r="AH198" s="25" t="str">
        <f ca="1">Sprache!$A$117</f>
        <v>Sprężyna biała</v>
      </c>
      <c r="AI198" s="25" t="s">
        <v>26</v>
      </c>
      <c r="AJ198" s="25" t="s">
        <v>26</v>
      </c>
      <c r="AK198" s="25">
        <f>'Material+Limits'!$K$9</f>
        <v>200</v>
      </c>
      <c r="AL198" s="24">
        <v>1200</v>
      </c>
      <c r="AM198" s="30"/>
      <c r="AN198" s="24"/>
      <c r="AO198"/>
      <c r="AR198"/>
      <c r="AS198"/>
      <c r="AT198"/>
      <c r="AU198"/>
      <c r="AV198"/>
    </row>
    <row r="199" spans="1:48" x14ac:dyDescent="0.25">
      <c r="A199" t="str">
        <f t="shared" ca="1" si="7"/>
        <v/>
      </c>
      <c r="B199" t="str">
        <f t="shared" ca="1" si="6"/>
        <v/>
      </c>
      <c r="C199" s="79">
        <f>IF('Material+Limits'!$P$7=TRUE,1,0)</f>
        <v>0</v>
      </c>
      <c r="D199" s="39">
        <f>IF(Daten!$O199+Daten!$P199+Daten!$R199=3,1,0)</f>
        <v>0</v>
      </c>
      <c r="E199" s="184">
        <f ca="1">IF(AND('Material+Limits'!$Q$21=TRUE,Daten!N199=1)=TRUE,1,0)</f>
        <v>0</v>
      </c>
      <c r="F199" s="185">
        <f>IF(AND('Material+Limits'!$Q$25=TRUE,Daten!M199=1)=TRUE,1,0)</f>
        <v>0</v>
      </c>
      <c r="G199" s="185">
        <f>IF(AND('Material+Limits'!$Q$24=TRUE,Daten!L199=1)=TRUE,1,0)</f>
        <v>0</v>
      </c>
      <c r="H199" s="185">
        <f>IF(AND('Material+Limits'!$Q$23=TRUE,Daten!K199=1)=TRUE,1,0)</f>
        <v>0</v>
      </c>
      <c r="I199" s="185">
        <f>IF(AND('Material+Limits'!$Q$22=TRUE,Daten!J199=1)=TRUE,1,0)</f>
        <v>0</v>
      </c>
      <c r="J199" s="155">
        <f>IF(Daten!$U199=13,1,0)</f>
        <v>1</v>
      </c>
      <c r="K199" s="156">
        <f>IF(Daten!$U199&lt;&gt;Daten!$V199,1,IF(Daten!$U199=14,1,0))</f>
        <v>0</v>
      </c>
      <c r="L199" s="156">
        <f>IF(Daten!$U199&lt;&gt;Daten!$V199,1,IF(Daten!$U199=16,1,0))</f>
        <v>0</v>
      </c>
      <c r="M199" s="156">
        <f>IF(Daten!$V199=17,1,0)</f>
        <v>0</v>
      </c>
      <c r="N199" s="157">
        <f ca="1">IF(Daten!$W199=Sprache!$A$60,1,0)</f>
        <v>0</v>
      </c>
      <c r="O199" s="169">
        <f>IF(AND(Daten!$AK199&lt;=KINVARO!$AW$3,Daten!$AL199&gt;=KINVARO!$AW$3)=TRUE,1,0)</f>
        <v>1</v>
      </c>
      <c r="P199" s="170">
        <f>IF(AND(Daten!$Z199&lt;=KINVARO!$AW$4,Daten!$AA199&gt;=KINVARO!$AW$4)=TRUE,1,0)</f>
        <v>0</v>
      </c>
      <c r="R199" s="170">
        <f>IF(AND(Daten!$AC199&lt;='Material+Limits'!$I$58,Daten!$AD199&gt;='Material+Limits'!$I$58)=TRUE,1,0)</f>
        <v>1</v>
      </c>
      <c r="S199" s="29">
        <f ca="1">IF(Daten!$X199=Sprache!$A$125,1,0)</f>
        <v>1</v>
      </c>
      <c r="T199" s="28" t="str">
        <f ca="1">Sprache!$A$57</f>
        <v>Podnośnik T-70</v>
      </c>
      <c r="U199" s="32">
        <v>13</v>
      </c>
      <c r="V199" s="29">
        <v>13</v>
      </c>
      <c r="W199" s="30">
        <f ca="1">Sprache!$A$131</f>
        <v>0</v>
      </c>
      <c r="X199" s="30">
        <f ca="1">Sprache!$A$126</f>
        <v>0</v>
      </c>
      <c r="Y199" s="30" t="str">
        <f ca="1">Sprache!$A$69</f>
        <v>Front</v>
      </c>
      <c r="Z199" s="30">
        <v>400</v>
      </c>
      <c r="AA199" s="28">
        <v>449</v>
      </c>
      <c r="AB199" s="30"/>
      <c r="AC199" s="31">
        <v>2.1</v>
      </c>
      <c r="AD199" s="53">
        <v>6.8</v>
      </c>
      <c r="AE199" s="30" t="s">
        <v>805</v>
      </c>
      <c r="AF199" s="30" t="str">
        <f ca="1">Sprache!$A$101</f>
        <v>Zestaw (prawy+lewy)</v>
      </c>
      <c r="AG199" s="30" t="s">
        <v>26</v>
      </c>
      <c r="AH199" s="30" t="str">
        <f ca="1">Sprache!$A$118</f>
        <v>Sprężyna pomarańczowa</v>
      </c>
      <c r="AI199" s="30" t="s">
        <v>26</v>
      </c>
      <c r="AJ199" s="30" t="s">
        <v>26</v>
      </c>
      <c r="AK199" s="30">
        <f>'Material+Limits'!$K$9</f>
        <v>200</v>
      </c>
      <c r="AL199" s="28">
        <v>1200</v>
      </c>
      <c r="AM199" s="30"/>
      <c r="AN199" s="28"/>
      <c r="AO199"/>
      <c r="AR199"/>
      <c r="AS199"/>
      <c r="AT199"/>
      <c r="AU199"/>
      <c r="AV199"/>
    </row>
    <row r="200" spans="1:48" x14ac:dyDescent="0.25">
      <c r="A200" t="str">
        <f t="shared" ca="1" si="7"/>
        <v/>
      </c>
      <c r="B200" t="str">
        <f t="shared" ca="1" si="6"/>
        <v/>
      </c>
      <c r="C200" s="79">
        <f>IF('Material+Limits'!$P$7=TRUE,1,0)</f>
        <v>0</v>
      </c>
      <c r="D200" s="39">
        <f>IF(Daten!$O200+Daten!$P200+Daten!$R200=3,1,0)</f>
        <v>0</v>
      </c>
      <c r="E200" s="184">
        <f ca="1">IF(AND('Material+Limits'!$Q$21=TRUE,Daten!N200=1)=TRUE,1,0)</f>
        <v>0</v>
      </c>
      <c r="F200" s="185">
        <f>IF(AND('Material+Limits'!$Q$25=TRUE,Daten!M200=1)=TRUE,1,0)</f>
        <v>0</v>
      </c>
      <c r="G200" s="185">
        <f>IF(AND('Material+Limits'!$Q$24=TRUE,Daten!L200=1)=TRUE,1,0)</f>
        <v>0</v>
      </c>
      <c r="H200" s="185">
        <f>IF(AND('Material+Limits'!$Q$23=TRUE,Daten!K200=1)=TRUE,1,0)</f>
        <v>0</v>
      </c>
      <c r="I200" s="185">
        <f>IF(AND('Material+Limits'!$Q$22=TRUE,Daten!J200=1)=TRUE,1,0)</f>
        <v>0</v>
      </c>
      <c r="J200" s="158">
        <f>IF(Daten!$U200=13,1,0)</f>
        <v>0</v>
      </c>
      <c r="K200" s="159">
        <f>IF(Daten!$U200&lt;&gt;Daten!$V200,1,IF(Daten!$U200=14,1,0))</f>
        <v>1</v>
      </c>
      <c r="L200" s="159">
        <f>IF(Daten!$U200&lt;&gt;Daten!$V200,1,IF(Daten!$U200=16,1,0))</f>
        <v>0</v>
      </c>
      <c r="M200" s="159">
        <f>IF(Daten!$V200=17,1,0)</f>
        <v>0</v>
      </c>
      <c r="N200" s="160">
        <f ca="1">IF(Daten!$W200=Sprache!$A$60,1,0)</f>
        <v>0</v>
      </c>
      <c r="O200" s="171">
        <f>IF(AND(Daten!$AK200&lt;=KINVARO!$AW$3,Daten!$AL200&gt;=KINVARO!$AW$3)=TRUE,1,0)</f>
        <v>1</v>
      </c>
      <c r="P200" s="172">
        <f>IF(AND(Daten!$Z200&lt;=KINVARO!$AW$4,Daten!$AA200&gt;=KINVARO!$AW$4)=TRUE,1,0)</f>
        <v>0</v>
      </c>
      <c r="Q200" s="172"/>
      <c r="R200" s="172">
        <f>IF(AND(Daten!$AC200&lt;='Material+Limits'!$I$58,Daten!$AD200&gt;='Material+Limits'!$I$58)=TRUE,1,0)</f>
        <v>0</v>
      </c>
      <c r="S200" s="23">
        <f ca="1">IF(Daten!$X200=Sprache!$A$125,1,0)</f>
        <v>1</v>
      </c>
      <c r="T200" s="24" t="str">
        <f ca="1">Sprache!$A$57</f>
        <v>Podnośnik T-70</v>
      </c>
      <c r="U200" s="27">
        <v>14</v>
      </c>
      <c r="V200" s="23">
        <v>14</v>
      </c>
      <c r="W200" s="25">
        <f ca="1">Sprache!$A$131</f>
        <v>0</v>
      </c>
      <c r="X200" s="25">
        <f ca="1">Sprache!$A$126</f>
        <v>0</v>
      </c>
      <c r="Y200" s="25" t="str">
        <f ca="1">Sprache!$A$69</f>
        <v>Front</v>
      </c>
      <c r="Z200" s="25">
        <v>400</v>
      </c>
      <c r="AA200" s="24">
        <v>449</v>
      </c>
      <c r="AB200" s="25"/>
      <c r="AC200" s="26">
        <v>1.7</v>
      </c>
      <c r="AD200" s="54">
        <v>5.4</v>
      </c>
      <c r="AE200" s="25" t="s">
        <v>806</v>
      </c>
      <c r="AF200" s="25" t="str">
        <f ca="1">Sprache!$A$101</f>
        <v>Zestaw (prawy+lewy)</v>
      </c>
      <c r="AG200" s="25" t="s">
        <v>26</v>
      </c>
      <c r="AH200" s="25" t="str">
        <f ca="1">Sprache!$A$117</f>
        <v>Sprężyna biała</v>
      </c>
      <c r="AI200" s="25" t="s">
        <v>26</v>
      </c>
      <c r="AJ200" s="25" t="s">
        <v>26</v>
      </c>
      <c r="AK200" s="25">
        <f>'Material+Limits'!$K$9</f>
        <v>200</v>
      </c>
      <c r="AL200" s="24">
        <v>1200</v>
      </c>
      <c r="AM200" s="30"/>
      <c r="AN200" s="24"/>
      <c r="AO200"/>
      <c r="AR200"/>
      <c r="AS200"/>
      <c r="AT200"/>
      <c r="AU200"/>
      <c r="AV200"/>
    </row>
    <row r="201" spans="1:48" x14ac:dyDescent="0.25">
      <c r="A201" t="str">
        <f t="shared" ca="1" si="7"/>
        <v/>
      </c>
      <c r="B201" t="str">
        <f t="shared" ca="1" si="6"/>
        <v/>
      </c>
      <c r="C201" s="79">
        <f>IF('Material+Limits'!$P$7=TRUE,1,0)</f>
        <v>0</v>
      </c>
      <c r="D201" s="39">
        <f>IF(Daten!$O201+Daten!$P201+Daten!$R201=3,1,0)</f>
        <v>0</v>
      </c>
      <c r="E201" s="184">
        <f ca="1">IF(AND('Material+Limits'!$Q$21=TRUE,Daten!N201=1)=TRUE,1,0)</f>
        <v>0</v>
      </c>
      <c r="F201" s="185">
        <f>IF(AND('Material+Limits'!$Q$25=TRUE,Daten!M201=1)=TRUE,1,0)</f>
        <v>0</v>
      </c>
      <c r="G201" s="185">
        <f>IF(AND('Material+Limits'!$Q$24=TRUE,Daten!L201=1)=TRUE,1,0)</f>
        <v>0</v>
      </c>
      <c r="H201" s="185">
        <f>IF(AND('Material+Limits'!$Q$23=TRUE,Daten!K201=1)=TRUE,1,0)</f>
        <v>0</v>
      </c>
      <c r="I201" s="185">
        <f>IF(AND('Material+Limits'!$Q$22=TRUE,Daten!J201=1)=TRUE,1,0)</f>
        <v>0</v>
      </c>
      <c r="J201" s="155">
        <f>IF(Daten!$U201=13,1,0)</f>
        <v>0</v>
      </c>
      <c r="K201" s="156">
        <f>IF(Daten!$U201&lt;&gt;Daten!$V201,1,IF(Daten!$U201=14,1,0))</f>
        <v>1</v>
      </c>
      <c r="L201" s="156">
        <f>IF(Daten!$U201&lt;&gt;Daten!$V201,1,IF(Daten!$U201=16,1,0))</f>
        <v>0</v>
      </c>
      <c r="M201" s="156">
        <f>IF(Daten!$V201=17,1,0)</f>
        <v>0</v>
      </c>
      <c r="N201" s="157">
        <f ca="1">IF(Daten!$W201=Sprache!$A$60,1,0)</f>
        <v>0</v>
      </c>
      <c r="O201" s="169">
        <f>IF(AND(Daten!$AK201&lt;=KINVARO!$AW$3,Daten!$AL201&gt;=KINVARO!$AW$3)=TRUE,1,0)</f>
        <v>1</v>
      </c>
      <c r="P201" s="170">
        <f>IF(AND(Daten!$Z201&lt;=KINVARO!$AW$4,Daten!$AA201&gt;=KINVARO!$AW$4)=TRUE,1,0)</f>
        <v>0</v>
      </c>
      <c r="R201" s="170">
        <f>IF(AND(Daten!$AC201&lt;='Material+Limits'!$I$58,Daten!$AD201&gt;='Material+Limits'!$I$58)=TRUE,1,0)</f>
        <v>1</v>
      </c>
      <c r="S201" s="29">
        <f ca="1">IF(Daten!$X201=Sprache!$A$125,1,0)</f>
        <v>1</v>
      </c>
      <c r="T201" s="28" t="str">
        <f ca="1">Sprache!$A$57</f>
        <v>Podnośnik T-70</v>
      </c>
      <c r="U201" s="32">
        <v>14</v>
      </c>
      <c r="V201" s="29">
        <v>14</v>
      </c>
      <c r="W201" s="30">
        <f ca="1">Sprache!$A$131</f>
        <v>0</v>
      </c>
      <c r="X201" s="30">
        <f ca="1">Sprache!$A$126</f>
        <v>0</v>
      </c>
      <c r="Y201" s="30" t="str">
        <f ca="1">Sprache!$A$69</f>
        <v>Front</v>
      </c>
      <c r="Z201" s="30">
        <v>400</v>
      </c>
      <c r="AA201" s="28">
        <v>449</v>
      </c>
      <c r="AB201" s="30"/>
      <c r="AC201" s="31">
        <v>2.1</v>
      </c>
      <c r="AD201" s="53">
        <v>6.8</v>
      </c>
      <c r="AE201" s="30" t="s">
        <v>806</v>
      </c>
      <c r="AF201" s="30" t="str">
        <f ca="1">Sprache!$A$101</f>
        <v>Zestaw (prawy+lewy)</v>
      </c>
      <c r="AG201" s="30" t="s">
        <v>26</v>
      </c>
      <c r="AH201" s="30" t="str">
        <f ca="1">Sprache!$A$118</f>
        <v>Sprężyna pomarańczowa</v>
      </c>
      <c r="AI201" s="30" t="s">
        <v>26</v>
      </c>
      <c r="AJ201" s="30" t="s">
        <v>26</v>
      </c>
      <c r="AK201" s="30">
        <f>'Material+Limits'!$K$9</f>
        <v>200</v>
      </c>
      <c r="AL201" s="28">
        <v>1200</v>
      </c>
      <c r="AM201" s="30"/>
      <c r="AN201" s="28"/>
      <c r="AO201"/>
      <c r="AR201"/>
      <c r="AS201"/>
      <c r="AT201"/>
      <c r="AU201"/>
      <c r="AV201"/>
    </row>
    <row r="202" spans="1:48" x14ac:dyDescent="0.25">
      <c r="A202" t="str">
        <f t="shared" ca="1" si="7"/>
        <v/>
      </c>
      <c r="B202" t="str">
        <f t="shared" ca="1" si="6"/>
        <v/>
      </c>
      <c r="C202" s="79">
        <f>IF('Material+Limits'!$P$7=TRUE,1,0)</f>
        <v>0</v>
      </c>
      <c r="D202" s="39">
        <f>IF(Daten!$O202+Daten!$P202+Daten!$R202=3,1,0)</f>
        <v>0</v>
      </c>
      <c r="E202" s="184">
        <f ca="1">IF(AND('Material+Limits'!$Q$21=TRUE,Daten!N202=1)=TRUE,1,0)</f>
        <v>0</v>
      </c>
      <c r="F202" s="185">
        <f>IF(AND('Material+Limits'!$Q$25=TRUE,Daten!M202=1)=TRUE,1,0)</f>
        <v>0</v>
      </c>
      <c r="G202" s="185">
        <f>IF(AND('Material+Limits'!$Q$24=TRUE,Daten!L202=1)=TRUE,1,0)</f>
        <v>0</v>
      </c>
      <c r="H202" s="185">
        <f>IF(AND('Material+Limits'!$Q$23=TRUE,Daten!K202=1)=TRUE,1,0)</f>
        <v>0</v>
      </c>
      <c r="I202" s="185">
        <f>IF(AND('Material+Limits'!$Q$22=TRUE,Daten!J202=1)=TRUE,1,0)</f>
        <v>0</v>
      </c>
      <c r="J202" s="158">
        <f>IF(Daten!$U202=13,1,0)</f>
        <v>0</v>
      </c>
      <c r="K202" s="159">
        <f>IF(Daten!$U202&lt;&gt;Daten!$V202,1,IF(Daten!$U202=14,1,0))</f>
        <v>0</v>
      </c>
      <c r="L202" s="159">
        <f>IF(Daten!$U202&lt;&gt;Daten!$V202,1,IF(Daten!$U202=16,1,0))</f>
        <v>1</v>
      </c>
      <c r="M202" s="159">
        <f>IF(Daten!$V202=17,1,0)</f>
        <v>0</v>
      </c>
      <c r="N202" s="160">
        <f ca="1">IF(Daten!$W202=Sprache!$A$60,1,0)</f>
        <v>0</v>
      </c>
      <c r="O202" s="171">
        <f>IF(AND(Daten!$AK202&lt;=KINVARO!$AW$3,Daten!$AL202&gt;=KINVARO!$AW$3)=TRUE,1,0)</f>
        <v>1</v>
      </c>
      <c r="P202" s="172">
        <f>IF(AND(Daten!$Z202&lt;=KINVARO!$AW$4,Daten!$AA202&gt;=KINVARO!$AW$4)=TRUE,1,0)</f>
        <v>0</v>
      </c>
      <c r="Q202" s="172"/>
      <c r="R202" s="172">
        <f>IF(AND(Daten!$AC202&lt;='Material+Limits'!$I$58,Daten!$AD202&gt;='Material+Limits'!$I$58)=TRUE,1,0)</f>
        <v>0</v>
      </c>
      <c r="S202" s="23">
        <f ca="1">IF(Daten!$X202=Sprache!$A$125,1,0)</f>
        <v>1</v>
      </c>
      <c r="T202" s="24" t="str">
        <f ca="1">Sprache!$A$57</f>
        <v>Podnośnik T-70</v>
      </c>
      <c r="U202" s="27">
        <v>16</v>
      </c>
      <c r="V202" s="23">
        <v>16</v>
      </c>
      <c r="W202" s="25">
        <f ca="1">Sprache!$A$131</f>
        <v>0</v>
      </c>
      <c r="X202" s="25">
        <f ca="1">Sprache!$A$126</f>
        <v>0</v>
      </c>
      <c r="Y202" s="25" t="str">
        <f ca="1">Sprache!$A$69</f>
        <v>Front</v>
      </c>
      <c r="Z202" s="25">
        <v>400</v>
      </c>
      <c r="AA202" s="24">
        <v>449</v>
      </c>
      <c r="AB202" s="25"/>
      <c r="AC202" s="26">
        <v>1.7</v>
      </c>
      <c r="AD202" s="54">
        <v>5.4</v>
      </c>
      <c r="AE202" s="25" t="s">
        <v>807</v>
      </c>
      <c r="AF202" s="25" t="str">
        <f ca="1">Sprache!$A$101</f>
        <v>Zestaw (prawy+lewy)</v>
      </c>
      <c r="AG202" s="25" t="s">
        <v>26</v>
      </c>
      <c r="AH202" s="25" t="str">
        <f ca="1">Sprache!$A$117</f>
        <v>Sprężyna biała</v>
      </c>
      <c r="AI202" s="25" t="s">
        <v>26</v>
      </c>
      <c r="AJ202" s="25" t="s">
        <v>26</v>
      </c>
      <c r="AK202" s="25">
        <f>'Material+Limits'!$K$9</f>
        <v>200</v>
      </c>
      <c r="AL202" s="24">
        <v>1200</v>
      </c>
      <c r="AM202" s="30"/>
      <c r="AN202" s="24"/>
      <c r="AO202"/>
      <c r="AR202"/>
      <c r="AS202"/>
      <c r="AT202"/>
      <c r="AU202"/>
      <c r="AV202"/>
    </row>
    <row r="203" spans="1:48" x14ac:dyDescent="0.25">
      <c r="A203" t="str">
        <f t="shared" ca="1" si="7"/>
        <v/>
      </c>
      <c r="B203" t="str">
        <f t="shared" ca="1" si="6"/>
        <v/>
      </c>
      <c r="C203" s="79">
        <f>IF('Material+Limits'!$P$7=TRUE,1,0)</f>
        <v>0</v>
      </c>
      <c r="D203" s="39">
        <f>IF(Daten!$O203+Daten!$P203+Daten!$R203=3,1,0)</f>
        <v>0</v>
      </c>
      <c r="E203" s="184">
        <f ca="1">IF(AND('Material+Limits'!$Q$21=TRUE,Daten!N203=1)=TRUE,1,0)</f>
        <v>0</v>
      </c>
      <c r="F203" s="185">
        <f>IF(AND('Material+Limits'!$Q$25=TRUE,Daten!M203=1)=TRUE,1,0)</f>
        <v>0</v>
      </c>
      <c r="G203" s="185">
        <f>IF(AND('Material+Limits'!$Q$24=TRUE,Daten!L203=1)=TRUE,1,0)</f>
        <v>0</v>
      </c>
      <c r="H203" s="185">
        <f>IF(AND('Material+Limits'!$Q$23=TRUE,Daten!K203=1)=TRUE,1,0)</f>
        <v>0</v>
      </c>
      <c r="I203" s="185">
        <f>IF(AND('Material+Limits'!$Q$22=TRUE,Daten!J203=1)=TRUE,1,0)</f>
        <v>0</v>
      </c>
      <c r="J203" s="155">
        <f>IF(Daten!$U203=13,1,0)</f>
        <v>0</v>
      </c>
      <c r="K203" s="156">
        <f>IF(Daten!$U203&lt;&gt;Daten!$V203,1,IF(Daten!$U203=14,1,0))</f>
        <v>0</v>
      </c>
      <c r="L203" s="156">
        <f>IF(Daten!$U203&lt;&gt;Daten!$V203,1,IF(Daten!$U203=16,1,0))</f>
        <v>1</v>
      </c>
      <c r="M203" s="156">
        <f>IF(Daten!$V203=17,1,0)</f>
        <v>0</v>
      </c>
      <c r="N203" s="157">
        <f ca="1">IF(Daten!$W203=Sprache!$A$60,1,0)</f>
        <v>0</v>
      </c>
      <c r="O203" s="169">
        <f>IF(AND(Daten!$AK203&lt;=KINVARO!$AW$3,Daten!$AL203&gt;=KINVARO!$AW$3)=TRUE,1,0)</f>
        <v>1</v>
      </c>
      <c r="P203" s="170">
        <f>IF(AND(Daten!$Z203&lt;=KINVARO!$AW$4,Daten!$AA203&gt;=KINVARO!$AW$4)=TRUE,1,0)</f>
        <v>0</v>
      </c>
      <c r="R203" s="170">
        <f>IF(AND(Daten!$AC203&lt;='Material+Limits'!$I$58,Daten!$AD203&gt;='Material+Limits'!$I$58)=TRUE,1,0)</f>
        <v>1</v>
      </c>
      <c r="S203" s="29">
        <f ca="1">IF(Daten!$X203=Sprache!$A$125,1,0)</f>
        <v>1</v>
      </c>
      <c r="T203" s="28" t="str">
        <f ca="1">Sprache!$A$57</f>
        <v>Podnośnik T-70</v>
      </c>
      <c r="U203" s="32">
        <v>16</v>
      </c>
      <c r="V203" s="29">
        <v>16</v>
      </c>
      <c r="W203" s="30">
        <f ca="1">Sprache!$A$131</f>
        <v>0</v>
      </c>
      <c r="X203" s="30">
        <f ca="1">Sprache!$A$126</f>
        <v>0</v>
      </c>
      <c r="Y203" s="30" t="str">
        <f ca="1">Sprache!$A$69</f>
        <v>Front</v>
      </c>
      <c r="Z203" s="30">
        <v>400</v>
      </c>
      <c r="AA203" s="28">
        <v>449</v>
      </c>
      <c r="AB203" s="30"/>
      <c r="AC203" s="31">
        <v>2.1</v>
      </c>
      <c r="AD203" s="53">
        <v>6.8</v>
      </c>
      <c r="AE203" s="30" t="s">
        <v>807</v>
      </c>
      <c r="AF203" s="30" t="str">
        <f ca="1">Sprache!$A$101</f>
        <v>Zestaw (prawy+lewy)</v>
      </c>
      <c r="AG203" s="30" t="s">
        <v>26</v>
      </c>
      <c r="AH203" s="30" t="str">
        <f ca="1">Sprache!$A$118</f>
        <v>Sprężyna pomarańczowa</v>
      </c>
      <c r="AI203" s="30" t="s">
        <v>26</v>
      </c>
      <c r="AJ203" s="30" t="s">
        <v>26</v>
      </c>
      <c r="AK203" s="30">
        <f>'Material+Limits'!$K$9</f>
        <v>200</v>
      </c>
      <c r="AL203" s="28">
        <v>1200</v>
      </c>
      <c r="AM203" s="30"/>
      <c r="AN203" s="28"/>
      <c r="AO203"/>
      <c r="AR203"/>
      <c r="AS203"/>
      <c r="AT203"/>
      <c r="AU203"/>
      <c r="AV203"/>
    </row>
    <row r="204" spans="1:48" x14ac:dyDescent="0.25">
      <c r="A204" t="str">
        <f t="shared" ca="1" si="7"/>
        <v/>
      </c>
      <c r="B204" t="str">
        <f t="shared" ca="1" si="6"/>
        <v/>
      </c>
      <c r="C204" s="79">
        <f>IF('Material+Limits'!$P$7=TRUE,1,0)</f>
        <v>0</v>
      </c>
      <c r="D204" s="39">
        <f>IF(Daten!$O204+Daten!$P204+Daten!$R204=3,1,0)</f>
        <v>0</v>
      </c>
      <c r="E204" s="184">
        <f ca="1">IF(AND('Material+Limits'!$Q$21=TRUE,Daten!N204=1)=TRUE,1,0)</f>
        <v>0</v>
      </c>
      <c r="F204" s="185">
        <f>IF(AND('Material+Limits'!$Q$25=TRUE,Daten!M204=1)=TRUE,1,0)</f>
        <v>0</v>
      </c>
      <c r="G204" s="185">
        <f>IF(AND('Material+Limits'!$Q$24=TRUE,Daten!L204=1)=TRUE,1,0)</f>
        <v>0</v>
      </c>
      <c r="H204" s="185">
        <f>IF(AND('Material+Limits'!$Q$23=TRUE,Daten!K204=1)=TRUE,1,0)</f>
        <v>0</v>
      </c>
      <c r="I204" s="185">
        <f>IF(AND('Material+Limits'!$Q$22=TRUE,Daten!J204=1)=TRUE,1,0)</f>
        <v>0</v>
      </c>
      <c r="J204" s="158">
        <f>IF(Daten!$U204=13,1,0)</f>
        <v>0</v>
      </c>
      <c r="K204" s="159">
        <f>IF(Daten!$U204&lt;&gt;Daten!$V204,1,IF(Daten!$U204=14,1,0))</f>
        <v>0</v>
      </c>
      <c r="L204" s="159">
        <f>IF(Daten!$U204&lt;&gt;Daten!$V204,1,IF(Daten!$U204=16,1,0))</f>
        <v>0</v>
      </c>
      <c r="M204" s="159">
        <f>IF(Daten!$V204=17,1,0)</f>
        <v>1</v>
      </c>
      <c r="N204" s="160">
        <f ca="1">IF(Daten!$W204=Sprache!$A$60,1,0)</f>
        <v>0</v>
      </c>
      <c r="O204" s="171">
        <f>IF(AND(Daten!$AK204&lt;=KINVARO!$AW$3,Daten!$AL204&gt;=KINVARO!$AW$3)=TRUE,1,0)</f>
        <v>1</v>
      </c>
      <c r="P204" s="172">
        <f>IF(AND(Daten!$Z204&lt;=KINVARO!$AW$4,Daten!$AA204&gt;=KINVARO!$AW$4)=TRUE,1,0)</f>
        <v>0</v>
      </c>
      <c r="Q204" s="172"/>
      <c r="R204" s="172">
        <f>IF(AND(Daten!$AC204&lt;='Material+Limits'!$I$58,Daten!$AD204&gt;='Material+Limits'!$I$58)=TRUE,1,0)</f>
        <v>0</v>
      </c>
      <c r="S204" s="23">
        <f ca="1">IF(Daten!$X204=Sprache!$A$125,1,0)</f>
        <v>1</v>
      </c>
      <c r="T204" s="24" t="str">
        <f ca="1">Sprache!$A$57</f>
        <v>Podnośnik T-70</v>
      </c>
      <c r="U204" s="27">
        <v>17</v>
      </c>
      <c r="V204" s="23">
        <v>17</v>
      </c>
      <c r="W204" s="25">
        <f ca="1">Sprache!$A$131</f>
        <v>0</v>
      </c>
      <c r="X204" s="25">
        <f ca="1">Sprache!$A$126</f>
        <v>0</v>
      </c>
      <c r="Y204" s="25" t="str">
        <f ca="1">Sprache!$A$69</f>
        <v>Front</v>
      </c>
      <c r="Z204" s="25">
        <v>400</v>
      </c>
      <c r="AA204" s="24">
        <v>449</v>
      </c>
      <c r="AB204" s="25"/>
      <c r="AC204" s="26">
        <v>1.7</v>
      </c>
      <c r="AD204" s="54">
        <v>5.4</v>
      </c>
      <c r="AE204" s="25" t="s">
        <v>808</v>
      </c>
      <c r="AF204" s="25" t="str">
        <f ca="1">Sprache!$A$101</f>
        <v>Zestaw (prawy+lewy)</v>
      </c>
      <c r="AG204" s="25" t="s">
        <v>26</v>
      </c>
      <c r="AH204" s="25" t="str">
        <f ca="1">Sprache!$A$117</f>
        <v>Sprężyna biała</v>
      </c>
      <c r="AI204" s="25" t="s">
        <v>26</v>
      </c>
      <c r="AJ204" s="25" t="s">
        <v>26</v>
      </c>
      <c r="AK204" s="25">
        <f>'Material+Limits'!$K$9</f>
        <v>200</v>
      </c>
      <c r="AL204" s="24">
        <v>1200</v>
      </c>
      <c r="AM204" s="30"/>
      <c r="AN204" s="24"/>
      <c r="AO204"/>
      <c r="AR204"/>
      <c r="AS204"/>
      <c r="AT204"/>
      <c r="AU204"/>
      <c r="AV204"/>
    </row>
    <row r="205" spans="1:48" s="5" customFormat="1" x14ac:dyDescent="0.25">
      <c r="A205" t="str">
        <f t="shared" ca="1" si="7"/>
        <v/>
      </c>
      <c r="B205" t="str">
        <f t="shared" ca="1" si="6"/>
        <v/>
      </c>
      <c r="C205" s="79">
        <f>IF('Material+Limits'!$P$7=TRUE,1,0)</f>
        <v>0</v>
      </c>
      <c r="D205" s="39">
        <f>IF(Daten!$O205+Daten!$P205+Daten!$R205=3,1,0)</f>
        <v>0</v>
      </c>
      <c r="E205" s="184">
        <f ca="1">IF(AND('Material+Limits'!$Q$21=TRUE,Daten!N205=1)=TRUE,1,0)</f>
        <v>0</v>
      </c>
      <c r="F205" s="185">
        <f>IF(AND('Material+Limits'!$Q$25=TRUE,Daten!M205=1)=TRUE,1,0)</f>
        <v>0</v>
      </c>
      <c r="G205" s="185">
        <f>IF(AND('Material+Limits'!$Q$24=TRUE,Daten!L205=1)=TRUE,1,0)</f>
        <v>0</v>
      </c>
      <c r="H205" s="185">
        <f>IF(AND('Material+Limits'!$Q$23=TRUE,Daten!K205=1)=TRUE,1,0)</f>
        <v>0</v>
      </c>
      <c r="I205" s="185">
        <f>IF(AND('Material+Limits'!$Q$22=TRUE,Daten!J205=1)=TRUE,1,0)</f>
        <v>0</v>
      </c>
      <c r="J205" s="155">
        <f>IF(Daten!$U205=13,1,0)</f>
        <v>0</v>
      </c>
      <c r="K205" s="156">
        <f>IF(Daten!$U205&lt;&gt;Daten!$V205,1,IF(Daten!$U205=14,1,0))</f>
        <v>0</v>
      </c>
      <c r="L205" s="156">
        <f>IF(Daten!$U205&lt;&gt;Daten!$V205,1,IF(Daten!$U205=16,1,0))</f>
        <v>0</v>
      </c>
      <c r="M205" s="156">
        <f>IF(Daten!$V205=17,1,0)</f>
        <v>1</v>
      </c>
      <c r="N205" s="157">
        <f ca="1">IF(Daten!$W205=Sprache!$A$60,1,0)</f>
        <v>0</v>
      </c>
      <c r="O205" s="169">
        <f>IF(AND(Daten!$AK205&lt;=KINVARO!$AW$3,Daten!$AL205&gt;=KINVARO!$AW$3)=TRUE,1,0)</f>
        <v>1</v>
      </c>
      <c r="P205" s="170">
        <f>IF(AND(Daten!$Z205&lt;=KINVARO!$AW$4,Daten!$AA205&gt;=KINVARO!$AW$4)=TRUE,1,0)</f>
        <v>0</v>
      </c>
      <c r="Q205" s="170"/>
      <c r="R205" s="170">
        <f>IF(AND(Daten!$AC205&lt;='Material+Limits'!$I$58,Daten!$AD205&gt;='Material+Limits'!$I$58)=TRUE,1,0)</f>
        <v>1</v>
      </c>
      <c r="S205" s="29">
        <f ca="1">IF(Daten!$X205=Sprache!$A$125,1,0)</f>
        <v>1</v>
      </c>
      <c r="T205" s="28" t="str">
        <f ca="1">Sprache!$A$57</f>
        <v>Podnośnik T-70</v>
      </c>
      <c r="U205" s="32">
        <v>17</v>
      </c>
      <c r="V205" s="29">
        <v>17</v>
      </c>
      <c r="W205" s="30">
        <f ca="1">Sprache!$A$131</f>
        <v>0</v>
      </c>
      <c r="X205" s="30">
        <f ca="1">Sprache!$A$126</f>
        <v>0</v>
      </c>
      <c r="Y205" s="30" t="str">
        <f ca="1">Sprache!$A$69</f>
        <v>Front</v>
      </c>
      <c r="Z205" s="30">
        <v>400</v>
      </c>
      <c r="AA205" s="28">
        <v>449</v>
      </c>
      <c r="AB205" s="30"/>
      <c r="AC205" s="31">
        <v>2.1</v>
      </c>
      <c r="AD205" s="53">
        <v>6.8</v>
      </c>
      <c r="AE205" s="30" t="s">
        <v>808</v>
      </c>
      <c r="AF205" s="30" t="str">
        <f ca="1">Sprache!$A$101</f>
        <v>Zestaw (prawy+lewy)</v>
      </c>
      <c r="AG205" s="30" t="s">
        <v>26</v>
      </c>
      <c r="AH205" s="30" t="str">
        <f ca="1">Sprache!$A$118</f>
        <v>Sprężyna pomarańczowa</v>
      </c>
      <c r="AI205" s="30" t="s">
        <v>26</v>
      </c>
      <c r="AJ205" s="30" t="s">
        <v>26</v>
      </c>
      <c r="AK205" s="30">
        <f>'Material+Limits'!$K$9</f>
        <v>200</v>
      </c>
      <c r="AL205" s="28">
        <v>1200</v>
      </c>
      <c r="AM205" s="30"/>
      <c r="AN205" s="28"/>
    </row>
    <row r="206" spans="1:48" x14ac:dyDescent="0.25">
      <c r="A206" t="str">
        <f t="shared" ca="1" si="7"/>
        <v/>
      </c>
      <c r="B206" t="str">
        <f t="shared" ca="1" si="6"/>
        <v/>
      </c>
      <c r="C206" s="79">
        <f>IF('Material+Limits'!$P$7=TRUE,1,0)</f>
        <v>0</v>
      </c>
      <c r="D206" s="39">
        <f>IF(Daten!$O206+Daten!$P206+Daten!$R206=3,1,0)</f>
        <v>0</v>
      </c>
      <c r="E206" s="184">
        <f ca="1">IF(AND('Material+Limits'!$Q$21=TRUE,Daten!N206=1)=TRUE,1,0)</f>
        <v>1</v>
      </c>
      <c r="F206" s="185">
        <f ca="1">IF(AND('Material+Limits'!$Q$25=TRUE,Daten!M206=1)=TRUE,1,0)</f>
        <v>0</v>
      </c>
      <c r="G206" s="185">
        <f ca="1">IF(AND('Material+Limits'!$Q$24=TRUE,Daten!L206=1)=TRUE,1,0)</f>
        <v>0</v>
      </c>
      <c r="H206" s="185">
        <f ca="1">IF(AND('Material+Limits'!$Q$23=TRUE,Daten!K206=1)=TRUE,1,0)</f>
        <v>0</v>
      </c>
      <c r="I206" s="185">
        <f ca="1">IF(AND('Material+Limits'!$Q$22=TRUE,Daten!J206=1)=TRUE,1,0)</f>
        <v>0</v>
      </c>
      <c r="J206" s="158">
        <f ca="1">IF(Daten!$U206=13,1,0)</f>
        <v>0</v>
      </c>
      <c r="K206" s="159">
        <f ca="1">IF(Daten!$U206&lt;&gt;Daten!$V206,1,IF(Daten!$U206=14,1,0))</f>
        <v>0</v>
      </c>
      <c r="L206" s="159">
        <f ca="1">IF(Daten!$U206&lt;&gt;Daten!$V206,1,IF(Daten!$U206=16,1,0))</f>
        <v>0</v>
      </c>
      <c r="M206" s="159">
        <f ca="1">IF(Daten!$V206=17,1,0)</f>
        <v>0</v>
      </c>
      <c r="N206" s="160">
        <f ca="1">IF(Daten!$W206=Sprache!$A$60,1,0)</f>
        <v>1</v>
      </c>
      <c r="O206" s="173">
        <f>IF(AND(Daten!$AK206&lt;=KINVARO!$AW$3,Daten!$AL206&gt;=KINVARO!$AW$3)=TRUE,1,0)</f>
        <v>1</v>
      </c>
      <c r="P206" s="174">
        <f>IF(AND(Daten!$Z206&lt;=KINVARO!$AW$4,Daten!$AA206&gt;=KINVARO!$AW$4)=TRUE,1,0)</f>
        <v>0</v>
      </c>
      <c r="Q206" s="174"/>
      <c r="R206" s="174">
        <f>IF(AND(Daten!$AC206&lt;='Material+Limits'!$I$58,Daten!$AD206&gt;='Material+Limits'!$I$58)=TRUE,1,0)</f>
        <v>0</v>
      </c>
      <c r="S206" s="38">
        <f ca="1">IF(Daten!$X206=Sprache!$A$125,1,0)</f>
        <v>1</v>
      </c>
      <c r="T206" s="57" t="str">
        <f ca="1">Sprache!$A$57</f>
        <v>Podnośnik T-70</v>
      </c>
      <c r="U206" s="55">
        <f ca="1">Sprache!$A$64</f>
        <v>0</v>
      </c>
      <c r="V206" s="38">
        <f ca="1">Sprache!$A$64</f>
        <v>0</v>
      </c>
      <c r="W206" s="56" t="str">
        <f ca="1">Sprache!$A$60</f>
        <v>Front lity (drewno/płyta)</v>
      </c>
      <c r="X206" s="25">
        <f ca="1">Sprache!$A$126</f>
        <v>0</v>
      </c>
      <c r="Y206" s="56" t="str">
        <f ca="1">Sprache!$A$69</f>
        <v>Front</v>
      </c>
      <c r="Z206" s="56">
        <v>450</v>
      </c>
      <c r="AA206" s="57">
        <v>499</v>
      </c>
      <c r="AB206" s="56"/>
      <c r="AC206" s="58">
        <v>1.6</v>
      </c>
      <c r="AD206" s="59">
        <v>4.7</v>
      </c>
      <c r="AE206" s="56" t="s">
        <v>804</v>
      </c>
      <c r="AF206" s="56" t="str">
        <f ca="1">Sprache!$A$101</f>
        <v>Zestaw (prawy+lewy)</v>
      </c>
      <c r="AG206" s="56" t="s">
        <v>26</v>
      </c>
      <c r="AH206" s="56" t="str">
        <f ca="1">Sprache!$A$117</f>
        <v>Sprężyna biała</v>
      </c>
      <c r="AI206" s="25" t="s">
        <v>26</v>
      </c>
      <c r="AJ206" s="25" t="s">
        <v>26</v>
      </c>
      <c r="AK206" s="56">
        <f>'Material+Limits'!$K$9</f>
        <v>200</v>
      </c>
      <c r="AL206" s="57">
        <v>1200</v>
      </c>
      <c r="AM206" s="30"/>
      <c r="AN206" s="24"/>
      <c r="AO206"/>
      <c r="AR206"/>
      <c r="AS206"/>
      <c r="AT206"/>
      <c r="AU206"/>
      <c r="AV206"/>
    </row>
    <row r="207" spans="1:48" x14ac:dyDescent="0.25">
      <c r="A207" t="str">
        <f t="shared" ca="1" si="7"/>
        <v/>
      </c>
      <c r="B207" t="str">
        <f t="shared" ca="1" si="6"/>
        <v/>
      </c>
      <c r="C207" s="79">
        <f>IF('Material+Limits'!$P$7=TRUE,1,0)</f>
        <v>0</v>
      </c>
      <c r="D207" s="39">
        <f>IF(Daten!$O207+Daten!$P207+Daten!$R207=3,1,0)</f>
        <v>0</v>
      </c>
      <c r="E207" s="184">
        <f ca="1">IF(AND('Material+Limits'!$Q$21=TRUE,Daten!N207=1)=TRUE,1,0)</f>
        <v>1</v>
      </c>
      <c r="F207" s="185">
        <f ca="1">IF(AND('Material+Limits'!$Q$25=TRUE,Daten!M207=1)=TRUE,1,0)</f>
        <v>0</v>
      </c>
      <c r="G207" s="185">
        <f ca="1">IF(AND('Material+Limits'!$Q$24=TRUE,Daten!L207=1)=TRUE,1,0)</f>
        <v>0</v>
      </c>
      <c r="H207" s="185">
        <f ca="1">IF(AND('Material+Limits'!$Q$23=TRUE,Daten!K207=1)=TRUE,1,0)</f>
        <v>0</v>
      </c>
      <c r="I207" s="185">
        <f ca="1">IF(AND('Material+Limits'!$Q$22=TRUE,Daten!J207=1)=TRUE,1,0)</f>
        <v>0</v>
      </c>
      <c r="J207" s="155">
        <f ca="1">IF(Daten!$U207=13,1,0)</f>
        <v>0</v>
      </c>
      <c r="K207" s="156">
        <f ca="1">IF(Daten!$U207&lt;&gt;Daten!$V207,1,IF(Daten!$U207=14,1,0))</f>
        <v>0</v>
      </c>
      <c r="L207" s="156">
        <f ca="1">IF(Daten!$U207&lt;&gt;Daten!$V207,1,IF(Daten!$U207=16,1,0))</f>
        <v>0</v>
      </c>
      <c r="M207" s="156">
        <f ca="1">IF(Daten!$V207=17,1,0)</f>
        <v>0</v>
      </c>
      <c r="N207" s="157">
        <f ca="1">IF(Daten!$W207=Sprache!$A$60,1,0)</f>
        <v>1</v>
      </c>
      <c r="O207" s="169">
        <f>IF(AND(Daten!$AK207&lt;=KINVARO!$AW$3,Daten!$AL207&gt;=KINVARO!$AW$3)=TRUE,1,0)</f>
        <v>1</v>
      </c>
      <c r="P207" s="170">
        <f>IF(AND(Daten!$Z207&lt;=KINVARO!$AW$4,Daten!$AA207&gt;=KINVARO!$AW$4)=TRUE,1,0)</f>
        <v>0</v>
      </c>
      <c r="R207" s="170">
        <f>IF(AND(Daten!$AC207&lt;='Material+Limits'!$I$58,Daten!$AD207&gt;='Material+Limits'!$I$58)=TRUE,1,0)</f>
        <v>0</v>
      </c>
      <c r="S207" s="29">
        <f ca="1">IF(Daten!$X207=Sprache!$A$125,1,0)</f>
        <v>1</v>
      </c>
      <c r="T207" s="28" t="str">
        <f ca="1">Sprache!$A$57</f>
        <v>Podnośnik T-70</v>
      </c>
      <c r="U207" s="32">
        <f ca="1">Sprache!$A$64</f>
        <v>0</v>
      </c>
      <c r="V207" s="29">
        <f ca="1">Sprache!$A$64</f>
        <v>0</v>
      </c>
      <c r="W207" s="30" t="str">
        <f ca="1">Sprache!$A$60</f>
        <v>Front lity (drewno/płyta)</v>
      </c>
      <c r="X207" s="30">
        <f ca="1">Sprache!$A$126</f>
        <v>0</v>
      </c>
      <c r="Y207" s="30" t="str">
        <f ca="1">Sprache!$A$69</f>
        <v>Front</v>
      </c>
      <c r="Z207" s="30">
        <v>450</v>
      </c>
      <c r="AA207" s="28">
        <v>499</v>
      </c>
      <c r="AB207" s="30"/>
      <c r="AC207" s="31">
        <v>2</v>
      </c>
      <c r="AD207" s="53">
        <v>5.8</v>
      </c>
      <c r="AE207" s="30" t="s">
        <v>804</v>
      </c>
      <c r="AF207" s="30" t="str">
        <f ca="1">Sprache!$A$101</f>
        <v>Zestaw (prawy+lewy)</v>
      </c>
      <c r="AG207" s="30" t="s">
        <v>26</v>
      </c>
      <c r="AH207" s="30" t="str">
        <f ca="1">Sprache!$A$118</f>
        <v>Sprężyna pomarańczowa</v>
      </c>
      <c r="AI207" s="30" t="s">
        <v>26</v>
      </c>
      <c r="AJ207" s="30" t="s">
        <v>26</v>
      </c>
      <c r="AK207" s="30">
        <f>'Material+Limits'!$K$9</f>
        <v>200</v>
      </c>
      <c r="AL207" s="28">
        <v>1200</v>
      </c>
      <c r="AM207" s="30"/>
      <c r="AN207" s="28"/>
      <c r="AO207"/>
      <c r="AR207"/>
      <c r="AS207"/>
      <c r="AT207"/>
      <c r="AU207"/>
      <c r="AV207"/>
    </row>
    <row r="208" spans="1:48" x14ac:dyDescent="0.25">
      <c r="A208" t="str">
        <f t="shared" ca="1" si="7"/>
        <v/>
      </c>
      <c r="B208" t="str">
        <f t="shared" ca="1" si="6"/>
        <v/>
      </c>
      <c r="C208" s="79">
        <f>IF('Material+Limits'!$P$7=TRUE,1,0)</f>
        <v>0</v>
      </c>
      <c r="D208" s="39">
        <f>IF(Daten!$O208+Daten!$P208+Daten!$R208=3,1,0)</f>
        <v>0</v>
      </c>
      <c r="E208" s="184">
        <f ca="1">IF(AND('Material+Limits'!$Q$21=TRUE,Daten!N208=1)=TRUE,1,0)</f>
        <v>0</v>
      </c>
      <c r="F208" s="185">
        <f>IF(AND('Material+Limits'!$Q$25=TRUE,Daten!M208=1)=TRUE,1,0)</f>
        <v>0</v>
      </c>
      <c r="G208" s="185">
        <f>IF(AND('Material+Limits'!$Q$24=TRUE,Daten!L208=1)=TRUE,1,0)</f>
        <v>0</v>
      </c>
      <c r="H208" s="185">
        <f>IF(AND('Material+Limits'!$Q$23=TRUE,Daten!K208=1)=TRUE,1,0)</f>
        <v>0</v>
      </c>
      <c r="I208" s="185">
        <f>IF(AND('Material+Limits'!$Q$22=TRUE,Daten!J208=1)=TRUE,1,0)</f>
        <v>0</v>
      </c>
      <c r="J208" s="158">
        <f>IF(Daten!$U208=13,1,0)</f>
        <v>1</v>
      </c>
      <c r="K208" s="159">
        <f>IF(Daten!$U208&lt;&gt;Daten!$V208,1,IF(Daten!$U208=14,1,0))</f>
        <v>0</v>
      </c>
      <c r="L208" s="159">
        <f>IF(Daten!$U208&lt;&gt;Daten!$V208,1,IF(Daten!$U208=16,1,0))</f>
        <v>0</v>
      </c>
      <c r="M208" s="159">
        <f>IF(Daten!$V208=17,1,0)</f>
        <v>0</v>
      </c>
      <c r="N208" s="160">
        <f ca="1">IF(Daten!$W208=Sprache!$A$60,1,0)</f>
        <v>0</v>
      </c>
      <c r="O208" s="171">
        <f>IF(AND(Daten!$AK208&lt;=KINVARO!$AW$3,Daten!$AL208&gt;=KINVARO!$AW$3)=TRUE,1,0)</f>
        <v>1</v>
      </c>
      <c r="P208" s="172">
        <f>IF(AND(Daten!$Z208&lt;=KINVARO!$AW$4,Daten!$AA208&gt;=KINVARO!$AW$4)=TRUE,1,0)</f>
        <v>0</v>
      </c>
      <c r="Q208" s="172"/>
      <c r="R208" s="172">
        <f>IF(AND(Daten!$AC208&lt;='Material+Limits'!$I$58,Daten!$AD208&gt;='Material+Limits'!$I$58)=TRUE,1,0)</f>
        <v>0</v>
      </c>
      <c r="S208" s="23">
        <f ca="1">IF(Daten!$X208=Sprache!$A$125,1,0)</f>
        <v>1</v>
      </c>
      <c r="T208" s="24" t="str">
        <f ca="1">Sprache!$A$57</f>
        <v>Podnośnik T-70</v>
      </c>
      <c r="U208" s="27">
        <v>13</v>
      </c>
      <c r="V208" s="23">
        <v>13</v>
      </c>
      <c r="W208" s="25">
        <f ca="1">Sprache!$A$131</f>
        <v>0</v>
      </c>
      <c r="X208" s="25">
        <f ca="1">Sprache!$A$126</f>
        <v>0</v>
      </c>
      <c r="Y208" s="25" t="str">
        <f ca="1">Sprache!$A$69</f>
        <v>Front</v>
      </c>
      <c r="Z208" s="25">
        <v>450</v>
      </c>
      <c r="AA208" s="24">
        <v>499</v>
      </c>
      <c r="AB208" s="25"/>
      <c r="AC208" s="26">
        <v>1.6</v>
      </c>
      <c r="AD208" s="54">
        <v>4.7</v>
      </c>
      <c r="AE208" s="25" t="s">
        <v>805</v>
      </c>
      <c r="AF208" s="25" t="str">
        <f ca="1">Sprache!$A$101</f>
        <v>Zestaw (prawy+lewy)</v>
      </c>
      <c r="AG208" s="25" t="s">
        <v>26</v>
      </c>
      <c r="AH208" s="25" t="str">
        <f ca="1">Sprache!$A$117</f>
        <v>Sprężyna biała</v>
      </c>
      <c r="AI208" s="25" t="s">
        <v>26</v>
      </c>
      <c r="AJ208" s="25" t="s">
        <v>26</v>
      </c>
      <c r="AK208" s="25">
        <f>'Material+Limits'!$K$9</f>
        <v>200</v>
      </c>
      <c r="AL208" s="24">
        <v>1200</v>
      </c>
      <c r="AM208" s="30"/>
      <c r="AN208" s="24"/>
      <c r="AO208"/>
      <c r="AR208"/>
      <c r="AS208"/>
      <c r="AT208"/>
      <c r="AU208"/>
      <c r="AV208"/>
    </row>
    <row r="209" spans="1:48" x14ac:dyDescent="0.25">
      <c r="A209" t="str">
        <f t="shared" ca="1" si="7"/>
        <v/>
      </c>
      <c r="B209" t="str">
        <f t="shared" ca="1" si="6"/>
        <v/>
      </c>
      <c r="C209" s="79">
        <f>IF('Material+Limits'!$P$7=TRUE,1,0)</f>
        <v>0</v>
      </c>
      <c r="D209" s="39">
        <f>IF(Daten!$O209+Daten!$P209+Daten!$R209=3,1,0)</f>
        <v>0</v>
      </c>
      <c r="E209" s="184">
        <f ca="1">IF(AND('Material+Limits'!$Q$21=TRUE,Daten!N209=1)=TRUE,1,0)</f>
        <v>0</v>
      </c>
      <c r="F209" s="185">
        <f>IF(AND('Material+Limits'!$Q$25=TRUE,Daten!M209=1)=TRUE,1,0)</f>
        <v>0</v>
      </c>
      <c r="G209" s="185">
        <f>IF(AND('Material+Limits'!$Q$24=TRUE,Daten!L209=1)=TRUE,1,0)</f>
        <v>0</v>
      </c>
      <c r="H209" s="185">
        <f>IF(AND('Material+Limits'!$Q$23=TRUE,Daten!K209=1)=TRUE,1,0)</f>
        <v>0</v>
      </c>
      <c r="I209" s="185">
        <f>IF(AND('Material+Limits'!$Q$22=TRUE,Daten!J209=1)=TRUE,1,0)</f>
        <v>0</v>
      </c>
      <c r="J209" s="155">
        <f>IF(Daten!$U209=13,1,0)</f>
        <v>1</v>
      </c>
      <c r="K209" s="156">
        <f>IF(Daten!$U209&lt;&gt;Daten!$V209,1,IF(Daten!$U209=14,1,0))</f>
        <v>0</v>
      </c>
      <c r="L209" s="156">
        <f>IF(Daten!$U209&lt;&gt;Daten!$V209,1,IF(Daten!$U209=16,1,0))</f>
        <v>0</v>
      </c>
      <c r="M209" s="156">
        <f>IF(Daten!$V209=17,1,0)</f>
        <v>0</v>
      </c>
      <c r="N209" s="157">
        <f ca="1">IF(Daten!$W209=Sprache!$A$60,1,0)</f>
        <v>0</v>
      </c>
      <c r="O209" s="169">
        <f>IF(AND(Daten!$AK209&lt;=KINVARO!$AW$3,Daten!$AL209&gt;=KINVARO!$AW$3)=TRUE,1,0)</f>
        <v>1</v>
      </c>
      <c r="P209" s="170">
        <f>IF(AND(Daten!$Z209&lt;=KINVARO!$AW$4,Daten!$AA209&gt;=KINVARO!$AW$4)=TRUE,1,0)</f>
        <v>0</v>
      </c>
      <c r="R209" s="170">
        <f>IF(AND(Daten!$AC209&lt;='Material+Limits'!$I$58,Daten!$AD209&gt;='Material+Limits'!$I$58)=TRUE,1,0)</f>
        <v>0</v>
      </c>
      <c r="S209" s="29">
        <f ca="1">IF(Daten!$X209=Sprache!$A$125,1,0)</f>
        <v>1</v>
      </c>
      <c r="T209" s="28" t="str">
        <f ca="1">Sprache!$A$57</f>
        <v>Podnośnik T-70</v>
      </c>
      <c r="U209" s="32">
        <v>13</v>
      </c>
      <c r="V209" s="29">
        <v>13</v>
      </c>
      <c r="W209" s="30">
        <f ca="1">Sprache!$A$131</f>
        <v>0</v>
      </c>
      <c r="X209" s="30">
        <f ca="1">Sprache!$A$126</f>
        <v>0</v>
      </c>
      <c r="Y209" s="30" t="str">
        <f ca="1">Sprache!$A$69</f>
        <v>Front</v>
      </c>
      <c r="Z209" s="30">
        <v>450</v>
      </c>
      <c r="AA209" s="28">
        <v>499</v>
      </c>
      <c r="AB209" s="30"/>
      <c r="AC209" s="31">
        <v>2</v>
      </c>
      <c r="AD209" s="53">
        <v>5.8</v>
      </c>
      <c r="AE209" s="30" t="s">
        <v>805</v>
      </c>
      <c r="AF209" s="30" t="str">
        <f ca="1">Sprache!$A$101</f>
        <v>Zestaw (prawy+lewy)</v>
      </c>
      <c r="AG209" s="30" t="s">
        <v>26</v>
      </c>
      <c r="AH209" s="30" t="str">
        <f ca="1">Sprache!$A$118</f>
        <v>Sprężyna pomarańczowa</v>
      </c>
      <c r="AI209" s="30" t="s">
        <v>26</v>
      </c>
      <c r="AJ209" s="30" t="s">
        <v>26</v>
      </c>
      <c r="AK209" s="30">
        <f>'Material+Limits'!$K$9</f>
        <v>200</v>
      </c>
      <c r="AL209" s="28">
        <v>1200</v>
      </c>
      <c r="AM209" s="30"/>
      <c r="AN209" s="28"/>
      <c r="AO209"/>
      <c r="AR209"/>
      <c r="AS209"/>
      <c r="AT209"/>
      <c r="AU209"/>
      <c r="AV209"/>
    </row>
    <row r="210" spans="1:48" x14ac:dyDescent="0.25">
      <c r="A210" t="str">
        <f t="shared" ca="1" si="7"/>
        <v/>
      </c>
      <c r="B210" t="str">
        <f t="shared" ca="1" si="6"/>
        <v/>
      </c>
      <c r="C210" s="79">
        <f>IF('Material+Limits'!$P$7=TRUE,1,0)</f>
        <v>0</v>
      </c>
      <c r="D210" s="39">
        <f>IF(Daten!$O210+Daten!$P210+Daten!$R210=3,1,0)</f>
        <v>0</v>
      </c>
      <c r="E210" s="184">
        <f ca="1">IF(AND('Material+Limits'!$Q$21=TRUE,Daten!N210=1)=TRUE,1,0)</f>
        <v>0</v>
      </c>
      <c r="F210" s="185">
        <f>IF(AND('Material+Limits'!$Q$25=TRUE,Daten!M210=1)=TRUE,1,0)</f>
        <v>0</v>
      </c>
      <c r="G210" s="185">
        <f>IF(AND('Material+Limits'!$Q$24=TRUE,Daten!L210=1)=TRUE,1,0)</f>
        <v>0</v>
      </c>
      <c r="H210" s="185">
        <f>IF(AND('Material+Limits'!$Q$23=TRUE,Daten!K210=1)=TRUE,1,0)</f>
        <v>0</v>
      </c>
      <c r="I210" s="185">
        <f>IF(AND('Material+Limits'!$Q$22=TRUE,Daten!J210=1)=TRUE,1,0)</f>
        <v>0</v>
      </c>
      <c r="J210" s="158">
        <f>IF(Daten!$U210=13,1,0)</f>
        <v>0</v>
      </c>
      <c r="K210" s="159">
        <f>IF(Daten!$U210&lt;&gt;Daten!$V210,1,IF(Daten!$U210=14,1,0))</f>
        <v>1</v>
      </c>
      <c r="L210" s="159">
        <f>IF(Daten!$U210&lt;&gt;Daten!$V210,1,IF(Daten!$U210=16,1,0))</f>
        <v>0</v>
      </c>
      <c r="M210" s="159">
        <f>IF(Daten!$V210=17,1,0)</f>
        <v>0</v>
      </c>
      <c r="N210" s="160">
        <f ca="1">IF(Daten!$W210=Sprache!$A$60,1,0)</f>
        <v>0</v>
      </c>
      <c r="O210" s="171">
        <f>IF(AND(Daten!$AK210&lt;=KINVARO!$AW$3,Daten!$AL210&gt;=KINVARO!$AW$3)=TRUE,1,0)</f>
        <v>1</v>
      </c>
      <c r="P210" s="172">
        <f>IF(AND(Daten!$Z210&lt;=KINVARO!$AW$4,Daten!$AA210&gt;=KINVARO!$AW$4)=TRUE,1,0)</f>
        <v>0</v>
      </c>
      <c r="Q210" s="172"/>
      <c r="R210" s="172">
        <f>IF(AND(Daten!$AC210&lt;='Material+Limits'!$I$58,Daten!$AD210&gt;='Material+Limits'!$I$58)=TRUE,1,0)</f>
        <v>0</v>
      </c>
      <c r="S210" s="23">
        <f ca="1">IF(Daten!$X210=Sprache!$A$125,1,0)</f>
        <v>1</v>
      </c>
      <c r="T210" s="24" t="str">
        <f ca="1">Sprache!$A$57</f>
        <v>Podnośnik T-70</v>
      </c>
      <c r="U210" s="27">
        <v>14</v>
      </c>
      <c r="V210" s="23">
        <v>14</v>
      </c>
      <c r="W210" s="25">
        <f ca="1">Sprache!$A$131</f>
        <v>0</v>
      </c>
      <c r="X210" s="25">
        <f ca="1">Sprache!$A$126</f>
        <v>0</v>
      </c>
      <c r="Y210" s="25" t="str">
        <f ca="1">Sprache!$A$69</f>
        <v>Front</v>
      </c>
      <c r="Z210" s="25">
        <v>450</v>
      </c>
      <c r="AA210" s="24">
        <v>499</v>
      </c>
      <c r="AB210" s="25"/>
      <c r="AC210" s="26">
        <v>1.6</v>
      </c>
      <c r="AD210" s="54">
        <v>4.7</v>
      </c>
      <c r="AE210" s="25" t="s">
        <v>806</v>
      </c>
      <c r="AF210" s="25" t="str">
        <f ca="1">Sprache!$A$101</f>
        <v>Zestaw (prawy+lewy)</v>
      </c>
      <c r="AG210" s="25" t="s">
        <v>26</v>
      </c>
      <c r="AH210" s="25" t="str">
        <f ca="1">Sprache!$A$117</f>
        <v>Sprężyna biała</v>
      </c>
      <c r="AI210" s="25" t="s">
        <v>26</v>
      </c>
      <c r="AJ210" s="25" t="s">
        <v>26</v>
      </c>
      <c r="AK210" s="25">
        <f>'Material+Limits'!$K$9</f>
        <v>200</v>
      </c>
      <c r="AL210" s="24">
        <v>1200</v>
      </c>
      <c r="AM210" s="30"/>
      <c r="AN210" s="24"/>
      <c r="AO210"/>
      <c r="AR210"/>
      <c r="AS210"/>
      <c r="AT210"/>
      <c r="AU210"/>
      <c r="AV210"/>
    </row>
    <row r="211" spans="1:48" x14ac:dyDescent="0.25">
      <c r="A211" t="str">
        <f t="shared" ca="1" si="7"/>
        <v/>
      </c>
      <c r="B211" t="str">
        <f t="shared" ca="1" si="6"/>
        <v/>
      </c>
      <c r="C211" s="79">
        <f>IF('Material+Limits'!$P$7=TRUE,1,0)</f>
        <v>0</v>
      </c>
      <c r="D211" s="39">
        <f>IF(Daten!$O211+Daten!$P211+Daten!$R211=3,1,0)</f>
        <v>0</v>
      </c>
      <c r="E211" s="184">
        <f ca="1">IF(AND('Material+Limits'!$Q$21=TRUE,Daten!N211=1)=TRUE,1,0)</f>
        <v>0</v>
      </c>
      <c r="F211" s="185">
        <f>IF(AND('Material+Limits'!$Q$25=TRUE,Daten!M211=1)=TRUE,1,0)</f>
        <v>0</v>
      </c>
      <c r="G211" s="185">
        <f>IF(AND('Material+Limits'!$Q$24=TRUE,Daten!L211=1)=TRUE,1,0)</f>
        <v>0</v>
      </c>
      <c r="H211" s="185">
        <f>IF(AND('Material+Limits'!$Q$23=TRUE,Daten!K211=1)=TRUE,1,0)</f>
        <v>0</v>
      </c>
      <c r="I211" s="185">
        <f>IF(AND('Material+Limits'!$Q$22=TRUE,Daten!J211=1)=TRUE,1,0)</f>
        <v>0</v>
      </c>
      <c r="J211" s="155">
        <f>IF(Daten!$U211=13,1,0)</f>
        <v>0</v>
      </c>
      <c r="K211" s="156">
        <f>IF(Daten!$U211&lt;&gt;Daten!$V211,1,IF(Daten!$U211=14,1,0))</f>
        <v>1</v>
      </c>
      <c r="L211" s="156">
        <f>IF(Daten!$U211&lt;&gt;Daten!$V211,1,IF(Daten!$U211=16,1,0))</f>
        <v>0</v>
      </c>
      <c r="M211" s="156">
        <f>IF(Daten!$V211=17,1,0)</f>
        <v>0</v>
      </c>
      <c r="N211" s="157">
        <f ca="1">IF(Daten!$W211=Sprache!$A$60,1,0)</f>
        <v>0</v>
      </c>
      <c r="O211" s="169">
        <f>IF(AND(Daten!$AK211&lt;=KINVARO!$AW$3,Daten!$AL211&gt;=KINVARO!$AW$3)=TRUE,1,0)</f>
        <v>1</v>
      </c>
      <c r="P211" s="170">
        <f>IF(AND(Daten!$Z211&lt;=KINVARO!$AW$4,Daten!$AA211&gt;=KINVARO!$AW$4)=TRUE,1,0)</f>
        <v>0</v>
      </c>
      <c r="R211" s="170">
        <f>IF(AND(Daten!$AC211&lt;='Material+Limits'!$I$58,Daten!$AD211&gt;='Material+Limits'!$I$58)=TRUE,1,0)</f>
        <v>0</v>
      </c>
      <c r="S211" s="29">
        <f ca="1">IF(Daten!$X211=Sprache!$A$125,1,0)</f>
        <v>1</v>
      </c>
      <c r="T211" s="28" t="str">
        <f ca="1">Sprache!$A$57</f>
        <v>Podnośnik T-70</v>
      </c>
      <c r="U211" s="32">
        <v>14</v>
      </c>
      <c r="V211" s="29">
        <v>14</v>
      </c>
      <c r="W211" s="30">
        <f ca="1">Sprache!$A$131</f>
        <v>0</v>
      </c>
      <c r="X211" s="30">
        <f ca="1">Sprache!$A$126</f>
        <v>0</v>
      </c>
      <c r="Y211" s="30" t="str">
        <f ca="1">Sprache!$A$69</f>
        <v>Front</v>
      </c>
      <c r="Z211" s="30">
        <v>450</v>
      </c>
      <c r="AA211" s="28">
        <v>499</v>
      </c>
      <c r="AB211" s="30"/>
      <c r="AC211" s="31">
        <v>2</v>
      </c>
      <c r="AD211" s="53">
        <v>5.8</v>
      </c>
      <c r="AE211" s="30" t="s">
        <v>806</v>
      </c>
      <c r="AF211" s="30" t="str">
        <f ca="1">Sprache!$A$101</f>
        <v>Zestaw (prawy+lewy)</v>
      </c>
      <c r="AG211" s="30" t="s">
        <v>26</v>
      </c>
      <c r="AH211" s="30" t="str">
        <f ca="1">Sprache!$A$118</f>
        <v>Sprężyna pomarańczowa</v>
      </c>
      <c r="AI211" s="30" t="s">
        <v>26</v>
      </c>
      <c r="AJ211" s="30" t="s">
        <v>26</v>
      </c>
      <c r="AK211" s="30">
        <f>'Material+Limits'!$K$9</f>
        <v>200</v>
      </c>
      <c r="AL211" s="28">
        <v>1200</v>
      </c>
      <c r="AM211" s="30"/>
      <c r="AN211" s="28"/>
      <c r="AO211"/>
      <c r="AR211"/>
      <c r="AS211"/>
      <c r="AT211"/>
      <c r="AU211"/>
      <c r="AV211"/>
    </row>
    <row r="212" spans="1:48" x14ac:dyDescent="0.25">
      <c r="A212" t="str">
        <f t="shared" ca="1" si="7"/>
        <v/>
      </c>
      <c r="B212" t="str">
        <f t="shared" ca="1" si="6"/>
        <v/>
      </c>
      <c r="C212" s="79">
        <f>IF('Material+Limits'!$P$7=TRUE,1,0)</f>
        <v>0</v>
      </c>
      <c r="D212" s="39">
        <f>IF(Daten!$O212+Daten!$P212+Daten!$R212=3,1,0)</f>
        <v>0</v>
      </c>
      <c r="E212" s="184">
        <f ca="1">IF(AND('Material+Limits'!$Q$21=TRUE,Daten!N212=1)=TRUE,1,0)</f>
        <v>0</v>
      </c>
      <c r="F212" s="185">
        <f>IF(AND('Material+Limits'!$Q$25=TRUE,Daten!M212=1)=TRUE,1,0)</f>
        <v>0</v>
      </c>
      <c r="G212" s="185">
        <f>IF(AND('Material+Limits'!$Q$24=TRUE,Daten!L212=1)=TRUE,1,0)</f>
        <v>0</v>
      </c>
      <c r="H212" s="185">
        <f>IF(AND('Material+Limits'!$Q$23=TRUE,Daten!K212=1)=TRUE,1,0)</f>
        <v>0</v>
      </c>
      <c r="I212" s="185">
        <f>IF(AND('Material+Limits'!$Q$22=TRUE,Daten!J212=1)=TRUE,1,0)</f>
        <v>0</v>
      </c>
      <c r="J212" s="158">
        <f>IF(Daten!$U212=13,1,0)</f>
        <v>0</v>
      </c>
      <c r="K212" s="159">
        <f>IF(Daten!$U212&lt;&gt;Daten!$V212,1,IF(Daten!$U212=14,1,0))</f>
        <v>0</v>
      </c>
      <c r="L212" s="159">
        <f>IF(Daten!$U212&lt;&gt;Daten!$V212,1,IF(Daten!$U212=16,1,0))</f>
        <v>1</v>
      </c>
      <c r="M212" s="159">
        <f>IF(Daten!$V212=17,1,0)</f>
        <v>0</v>
      </c>
      <c r="N212" s="160">
        <f ca="1">IF(Daten!$W212=Sprache!$A$60,1,0)</f>
        <v>0</v>
      </c>
      <c r="O212" s="171">
        <f>IF(AND(Daten!$AK212&lt;=KINVARO!$AW$3,Daten!$AL212&gt;=KINVARO!$AW$3)=TRUE,1,0)</f>
        <v>1</v>
      </c>
      <c r="P212" s="172">
        <f>IF(AND(Daten!$Z212&lt;=KINVARO!$AW$4,Daten!$AA212&gt;=KINVARO!$AW$4)=TRUE,1,0)</f>
        <v>0</v>
      </c>
      <c r="Q212" s="172"/>
      <c r="R212" s="172">
        <f>IF(AND(Daten!$AC212&lt;='Material+Limits'!$I$58,Daten!$AD212&gt;='Material+Limits'!$I$58)=TRUE,1,0)</f>
        <v>0</v>
      </c>
      <c r="S212" s="23">
        <f ca="1">IF(Daten!$X212=Sprache!$A$125,1,0)</f>
        <v>1</v>
      </c>
      <c r="T212" s="24" t="str">
        <f ca="1">Sprache!$A$57</f>
        <v>Podnośnik T-70</v>
      </c>
      <c r="U212" s="27">
        <v>16</v>
      </c>
      <c r="V212" s="23">
        <v>16</v>
      </c>
      <c r="W212" s="25">
        <f ca="1">Sprache!$A$131</f>
        <v>0</v>
      </c>
      <c r="X212" s="25">
        <f ca="1">Sprache!$A$126</f>
        <v>0</v>
      </c>
      <c r="Y212" s="25" t="str">
        <f ca="1">Sprache!$A$69</f>
        <v>Front</v>
      </c>
      <c r="Z212" s="25">
        <v>450</v>
      </c>
      <c r="AA212" s="24">
        <v>499</v>
      </c>
      <c r="AB212" s="25"/>
      <c r="AC212" s="26">
        <v>1.6</v>
      </c>
      <c r="AD212" s="54">
        <v>4.7</v>
      </c>
      <c r="AE212" s="25" t="s">
        <v>807</v>
      </c>
      <c r="AF212" s="25" t="str">
        <f ca="1">Sprache!$A$101</f>
        <v>Zestaw (prawy+lewy)</v>
      </c>
      <c r="AG212" s="25" t="s">
        <v>26</v>
      </c>
      <c r="AH212" s="25" t="str">
        <f ca="1">Sprache!$A$117</f>
        <v>Sprężyna biała</v>
      </c>
      <c r="AI212" s="25" t="s">
        <v>26</v>
      </c>
      <c r="AJ212" s="25" t="s">
        <v>26</v>
      </c>
      <c r="AK212" s="25">
        <f>'Material+Limits'!$K$9</f>
        <v>200</v>
      </c>
      <c r="AL212" s="24">
        <v>1200</v>
      </c>
      <c r="AM212" s="30"/>
      <c r="AN212" s="24"/>
      <c r="AO212"/>
      <c r="AR212"/>
      <c r="AS212"/>
      <c r="AT212"/>
      <c r="AU212"/>
      <c r="AV212"/>
    </row>
    <row r="213" spans="1:48" x14ac:dyDescent="0.25">
      <c r="A213" t="str">
        <f t="shared" ca="1" si="7"/>
        <v/>
      </c>
      <c r="B213" t="str">
        <f t="shared" ca="1" si="6"/>
        <v/>
      </c>
      <c r="C213" s="79">
        <f>IF('Material+Limits'!$P$7=TRUE,1,0)</f>
        <v>0</v>
      </c>
      <c r="D213" s="39">
        <f>IF(Daten!$O213+Daten!$P213+Daten!$R213=3,1,0)</f>
        <v>0</v>
      </c>
      <c r="E213" s="184">
        <f ca="1">IF(AND('Material+Limits'!$Q$21=TRUE,Daten!N213=1)=TRUE,1,0)</f>
        <v>0</v>
      </c>
      <c r="F213" s="185">
        <f>IF(AND('Material+Limits'!$Q$25=TRUE,Daten!M213=1)=TRUE,1,0)</f>
        <v>0</v>
      </c>
      <c r="G213" s="185">
        <f>IF(AND('Material+Limits'!$Q$24=TRUE,Daten!L213=1)=TRUE,1,0)</f>
        <v>0</v>
      </c>
      <c r="H213" s="185">
        <f>IF(AND('Material+Limits'!$Q$23=TRUE,Daten!K213=1)=TRUE,1,0)</f>
        <v>0</v>
      </c>
      <c r="I213" s="185">
        <f>IF(AND('Material+Limits'!$Q$22=TRUE,Daten!J213=1)=TRUE,1,0)</f>
        <v>0</v>
      </c>
      <c r="J213" s="155">
        <f>IF(Daten!$U213=13,1,0)</f>
        <v>0</v>
      </c>
      <c r="K213" s="156">
        <f>IF(Daten!$U213&lt;&gt;Daten!$V213,1,IF(Daten!$U213=14,1,0))</f>
        <v>0</v>
      </c>
      <c r="L213" s="156">
        <f>IF(Daten!$U213&lt;&gt;Daten!$V213,1,IF(Daten!$U213=16,1,0))</f>
        <v>1</v>
      </c>
      <c r="M213" s="156">
        <f>IF(Daten!$V213=17,1,0)</f>
        <v>0</v>
      </c>
      <c r="N213" s="157">
        <f ca="1">IF(Daten!$W213=Sprache!$A$60,1,0)</f>
        <v>0</v>
      </c>
      <c r="O213" s="169">
        <f>IF(AND(Daten!$AK213&lt;=KINVARO!$AW$3,Daten!$AL213&gt;=KINVARO!$AW$3)=TRUE,1,0)</f>
        <v>1</v>
      </c>
      <c r="P213" s="170">
        <f>IF(AND(Daten!$Z213&lt;=KINVARO!$AW$4,Daten!$AA213&gt;=KINVARO!$AW$4)=TRUE,1,0)</f>
        <v>0</v>
      </c>
      <c r="R213" s="170">
        <f>IF(AND(Daten!$AC213&lt;='Material+Limits'!$I$58,Daten!$AD213&gt;='Material+Limits'!$I$58)=TRUE,1,0)</f>
        <v>0</v>
      </c>
      <c r="S213" s="29">
        <f ca="1">IF(Daten!$X213=Sprache!$A$125,1,0)</f>
        <v>1</v>
      </c>
      <c r="T213" s="28" t="str">
        <f ca="1">Sprache!$A$57</f>
        <v>Podnośnik T-70</v>
      </c>
      <c r="U213" s="32">
        <v>16</v>
      </c>
      <c r="V213" s="29">
        <v>16</v>
      </c>
      <c r="W213" s="30">
        <f ca="1">Sprache!$A$131</f>
        <v>0</v>
      </c>
      <c r="X213" s="30">
        <f ca="1">Sprache!$A$126</f>
        <v>0</v>
      </c>
      <c r="Y213" s="30" t="str">
        <f ca="1">Sprache!$A$69</f>
        <v>Front</v>
      </c>
      <c r="Z213" s="30">
        <v>450</v>
      </c>
      <c r="AA213" s="28">
        <v>499</v>
      </c>
      <c r="AB213" s="30"/>
      <c r="AC213" s="31">
        <v>2</v>
      </c>
      <c r="AD213" s="53">
        <v>5.8</v>
      </c>
      <c r="AE213" s="30" t="s">
        <v>807</v>
      </c>
      <c r="AF213" s="30" t="str">
        <f ca="1">Sprache!$A$101</f>
        <v>Zestaw (prawy+lewy)</v>
      </c>
      <c r="AG213" s="30" t="s">
        <v>26</v>
      </c>
      <c r="AH213" s="30" t="str">
        <f ca="1">Sprache!$A$118</f>
        <v>Sprężyna pomarańczowa</v>
      </c>
      <c r="AI213" s="30" t="s">
        <v>26</v>
      </c>
      <c r="AJ213" s="30" t="s">
        <v>26</v>
      </c>
      <c r="AK213" s="30">
        <f>'Material+Limits'!$K$9</f>
        <v>200</v>
      </c>
      <c r="AL213" s="28">
        <v>1200</v>
      </c>
      <c r="AM213" s="30"/>
      <c r="AN213" s="28"/>
      <c r="AO213"/>
      <c r="AR213"/>
      <c r="AS213"/>
      <c r="AT213"/>
      <c r="AU213"/>
      <c r="AV213"/>
    </row>
    <row r="214" spans="1:48" x14ac:dyDescent="0.25">
      <c r="A214" t="str">
        <f t="shared" ca="1" si="7"/>
        <v/>
      </c>
      <c r="B214" t="str">
        <f t="shared" ca="1" si="6"/>
        <v/>
      </c>
      <c r="C214" s="79">
        <f>IF('Material+Limits'!$P$7=TRUE,1,0)</f>
        <v>0</v>
      </c>
      <c r="D214" s="39">
        <f>IF(Daten!$O214+Daten!$P214+Daten!$R214=3,1,0)</f>
        <v>0</v>
      </c>
      <c r="E214" s="184">
        <f ca="1">IF(AND('Material+Limits'!$Q$21=TRUE,Daten!N214=1)=TRUE,1,0)</f>
        <v>0</v>
      </c>
      <c r="F214" s="185">
        <f>IF(AND('Material+Limits'!$Q$25=TRUE,Daten!M214=1)=TRUE,1,0)</f>
        <v>0</v>
      </c>
      <c r="G214" s="185">
        <f>IF(AND('Material+Limits'!$Q$24=TRUE,Daten!L214=1)=TRUE,1,0)</f>
        <v>0</v>
      </c>
      <c r="H214" s="185">
        <f>IF(AND('Material+Limits'!$Q$23=TRUE,Daten!K214=1)=TRUE,1,0)</f>
        <v>0</v>
      </c>
      <c r="I214" s="185">
        <f>IF(AND('Material+Limits'!$Q$22=TRUE,Daten!J214=1)=TRUE,1,0)</f>
        <v>0</v>
      </c>
      <c r="J214" s="158">
        <f>IF(Daten!$U214=13,1,0)</f>
        <v>0</v>
      </c>
      <c r="K214" s="159">
        <f>IF(Daten!$U214&lt;&gt;Daten!$V214,1,IF(Daten!$U214=14,1,0))</f>
        <v>0</v>
      </c>
      <c r="L214" s="159">
        <f>IF(Daten!$U214&lt;&gt;Daten!$V214,1,IF(Daten!$U214=16,1,0))</f>
        <v>0</v>
      </c>
      <c r="M214" s="159">
        <f>IF(Daten!$V214=17,1,0)</f>
        <v>1</v>
      </c>
      <c r="N214" s="160">
        <f ca="1">IF(Daten!$W214=Sprache!$A$60,1,0)</f>
        <v>0</v>
      </c>
      <c r="O214" s="171">
        <f>IF(AND(Daten!$AK214&lt;=KINVARO!$AW$3,Daten!$AL214&gt;=KINVARO!$AW$3)=TRUE,1,0)</f>
        <v>1</v>
      </c>
      <c r="P214" s="172">
        <f>IF(AND(Daten!$Z214&lt;=KINVARO!$AW$4,Daten!$AA214&gt;=KINVARO!$AW$4)=TRUE,1,0)</f>
        <v>0</v>
      </c>
      <c r="Q214" s="172"/>
      <c r="R214" s="172">
        <f>IF(AND(Daten!$AC214&lt;='Material+Limits'!$I$58,Daten!$AD214&gt;='Material+Limits'!$I$58)=TRUE,1,0)</f>
        <v>0</v>
      </c>
      <c r="S214" s="23">
        <f ca="1">IF(Daten!$X214=Sprache!$A$125,1,0)</f>
        <v>1</v>
      </c>
      <c r="T214" s="24" t="str">
        <f ca="1">Sprache!$A$57</f>
        <v>Podnośnik T-70</v>
      </c>
      <c r="U214" s="27">
        <v>17</v>
      </c>
      <c r="V214" s="23">
        <v>17</v>
      </c>
      <c r="W214" s="25">
        <f ca="1">Sprache!$A$131</f>
        <v>0</v>
      </c>
      <c r="X214" s="25">
        <f ca="1">Sprache!$A$126</f>
        <v>0</v>
      </c>
      <c r="Y214" s="25" t="str">
        <f ca="1">Sprache!$A$69</f>
        <v>Front</v>
      </c>
      <c r="Z214" s="25">
        <v>450</v>
      </c>
      <c r="AA214" s="24">
        <v>499</v>
      </c>
      <c r="AB214" s="25"/>
      <c r="AC214" s="26">
        <v>1.6</v>
      </c>
      <c r="AD214" s="54">
        <v>4.7</v>
      </c>
      <c r="AE214" s="25" t="s">
        <v>808</v>
      </c>
      <c r="AF214" s="25" t="str">
        <f ca="1">Sprache!$A$101</f>
        <v>Zestaw (prawy+lewy)</v>
      </c>
      <c r="AG214" s="25" t="s">
        <v>26</v>
      </c>
      <c r="AH214" s="25" t="str">
        <f ca="1">Sprache!$A$117</f>
        <v>Sprężyna biała</v>
      </c>
      <c r="AI214" s="25" t="s">
        <v>26</v>
      </c>
      <c r="AJ214" s="25" t="s">
        <v>26</v>
      </c>
      <c r="AK214" s="25">
        <f>'Material+Limits'!$K$9</f>
        <v>200</v>
      </c>
      <c r="AL214" s="24">
        <v>1200</v>
      </c>
      <c r="AM214" s="30"/>
      <c r="AN214" s="24"/>
      <c r="AO214"/>
      <c r="AR214"/>
      <c r="AS214"/>
      <c r="AT214"/>
      <c r="AU214"/>
      <c r="AV214"/>
    </row>
    <row r="215" spans="1:48" s="5" customFormat="1" x14ac:dyDescent="0.25">
      <c r="A215" t="str">
        <f t="shared" ca="1" si="7"/>
        <v/>
      </c>
      <c r="B215" t="str">
        <f t="shared" ca="1" si="6"/>
        <v/>
      </c>
      <c r="C215" s="79">
        <f>IF('Material+Limits'!$P$7=TRUE,1,0)</f>
        <v>0</v>
      </c>
      <c r="D215" s="39">
        <f>IF(Daten!$O215+Daten!$P215+Daten!$R215=3,1,0)</f>
        <v>0</v>
      </c>
      <c r="E215" s="184">
        <f ca="1">IF(AND('Material+Limits'!$Q$21=TRUE,Daten!N215=1)=TRUE,1,0)</f>
        <v>0</v>
      </c>
      <c r="F215" s="185">
        <f>IF(AND('Material+Limits'!$Q$25=TRUE,Daten!M215=1)=TRUE,1,0)</f>
        <v>0</v>
      </c>
      <c r="G215" s="185">
        <f>IF(AND('Material+Limits'!$Q$24=TRUE,Daten!L215=1)=TRUE,1,0)</f>
        <v>0</v>
      </c>
      <c r="H215" s="185">
        <f>IF(AND('Material+Limits'!$Q$23=TRUE,Daten!K215=1)=TRUE,1,0)</f>
        <v>0</v>
      </c>
      <c r="I215" s="185">
        <f>IF(AND('Material+Limits'!$Q$22=TRUE,Daten!J215=1)=TRUE,1,0)</f>
        <v>0</v>
      </c>
      <c r="J215" s="155">
        <f>IF(Daten!$U215=13,1,0)</f>
        <v>0</v>
      </c>
      <c r="K215" s="156">
        <f>IF(Daten!$U215&lt;&gt;Daten!$V215,1,IF(Daten!$U215=14,1,0))</f>
        <v>0</v>
      </c>
      <c r="L215" s="156">
        <f>IF(Daten!$U215&lt;&gt;Daten!$V215,1,IF(Daten!$U215=16,1,0))</f>
        <v>0</v>
      </c>
      <c r="M215" s="156">
        <f>IF(Daten!$V215=17,1,0)</f>
        <v>1</v>
      </c>
      <c r="N215" s="157">
        <f ca="1">IF(Daten!$W215=Sprache!$A$60,1,0)</f>
        <v>0</v>
      </c>
      <c r="O215" s="169">
        <f>IF(AND(Daten!$AK215&lt;=KINVARO!$AW$3,Daten!$AL215&gt;=KINVARO!$AW$3)=TRUE,1,0)</f>
        <v>1</v>
      </c>
      <c r="P215" s="170">
        <f>IF(AND(Daten!$Z215&lt;=KINVARO!$AW$4,Daten!$AA215&gt;=KINVARO!$AW$4)=TRUE,1,0)</f>
        <v>0</v>
      </c>
      <c r="Q215" s="170"/>
      <c r="R215" s="170">
        <f>IF(AND(Daten!$AC215&lt;='Material+Limits'!$I$58,Daten!$AD215&gt;='Material+Limits'!$I$58)=TRUE,1,0)</f>
        <v>0</v>
      </c>
      <c r="S215" s="29">
        <f ca="1">IF(Daten!$X215=Sprache!$A$125,1,0)</f>
        <v>1</v>
      </c>
      <c r="T215" s="28" t="str">
        <f ca="1">Sprache!$A$57</f>
        <v>Podnośnik T-70</v>
      </c>
      <c r="U215" s="32">
        <v>17</v>
      </c>
      <c r="V215" s="29">
        <v>17</v>
      </c>
      <c r="W215" s="30">
        <f ca="1">Sprache!$A$131</f>
        <v>0</v>
      </c>
      <c r="X215" s="30">
        <f ca="1">Sprache!$A$126</f>
        <v>0</v>
      </c>
      <c r="Y215" s="30" t="str">
        <f ca="1">Sprache!$A$69</f>
        <v>Front</v>
      </c>
      <c r="Z215" s="30">
        <v>450</v>
      </c>
      <c r="AA215" s="28">
        <v>499</v>
      </c>
      <c r="AB215" s="30"/>
      <c r="AC215" s="31">
        <v>2</v>
      </c>
      <c r="AD215" s="53">
        <v>5.8</v>
      </c>
      <c r="AE215" s="30" t="s">
        <v>808</v>
      </c>
      <c r="AF215" s="30" t="str">
        <f ca="1">Sprache!$A$101</f>
        <v>Zestaw (prawy+lewy)</v>
      </c>
      <c r="AG215" s="30" t="s">
        <v>26</v>
      </c>
      <c r="AH215" s="30" t="str">
        <f ca="1">Sprache!$A$118</f>
        <v>Sprężyna pomarańczowa</v>
      </c>
      <c r="AI215" s="30" t="s">
        <v>26</v>
      </c>
      <c r="AJ215" s="30" t="s">
        <v>26</v>
      </c>
      <c r="AK215" s="30">
        <f>'Material+Limits'!$K$9</f>
        <v>200</v>
      </c>
      <c r="AL215" s="28">
        <v>1200</v>
      </c>
      <c r="AM215" s="30"/>
      <c r="AN215" s="28"/>
    </row>
    <row r="216" spans="1:48" x14ac:dyDescent="0.25">
      <c r="A216" t="str">
        <f t="shared" ca="1" si="7"/>
        <v/>
      </c>
      <c r="B216" t="str">
        <f t="shared" ca="1" si="6"/>
        <v/>
      </c>
      <c r="C216" s="79">
        <f>IF('Material+Limits'!$P$7=TRUE,1,0)</f>
        <v>0</v>
      </c>
      <c r="D216" s="39">
        <f>IF(Daten!$O216+Daten!$P216+Daten!$R216=3,1,0)</f>
        <v>0</v>
      </c>
      <c r="E216" s="184">
        <f ca="1">IF(AND('Material+Limits'!$Q$21=TRUE,Daten!N216=1)=TRUE,1,0)</f>
        <v>1</v>
      </c>
      <c r="F216" s="185">
        <f ca="1">IF(AND('Material+Limits'!$Q$25=TRUE,Daten!M216=1)=TRUE,1,0)</f>
        <v>0</v>
      </c>
      <c r="G216" s="185">
        <f ca="1">IF(AND('Material+Limits'!$Q$24=TRUE,Daten!L216=1)=TRUE,1,0)</f>
        <v>0</v>
      </c>
      <c r="H216" s="185">
        <f ca="1">IF(AND('Material+Limits'!$Q$23=TRUE,Daten!K216=1)=TRUE,1,0)</f>
        <v>0</v>
      </c>
      <c r="I216" s="185">
        <f ca="1">IF(AND('Material+Limits'!$Q$22=TRUE,Daten!J216=1)=TRUE,1,0)</f>
        <v>0</v>
      </c>
      <c r="J216" s="158">
        <f ca="1">IF(Daten!$U216=13,1,0)</f>
        <v>0</v>
      </c>
      <c r="K216" s="159">
        <f ca="1">IF(Daten!$U216&lt;&gt;Daten!$V216,1,IF(Daten!$U216=14,1,0))</f>
        <v>0</v>
      </c>
      <c r="L216" s="159">
        <f ca="1">IF(Daten!$U216&lt;&gt;Daten!$V216,1,IF(Daten!$U216=16,1,0))</f>
        <v>0</v>
      </c>
      <c r="M216" s="159">
        <f ca="1">IF(Daten!$V216=17,1,0)</f>
        <v>0</v>
      </c>
      <c r="N216" s="160">
        <f ca="1">IF(Daten!$W216=Sprache!$A$60,1,0)</f>
        <v>1</v>
      </c>
      <c r="O216" s="173">
        <f>IF(AND(Daten!$AK216&lt;=KINVARO!$AW$3,Daten!$AL216&gt;=KINVARO!$AW$3)=TRUE,1,0)</f>
        <v>1</v>
      </c>
      <c r="P216" s="174">
        <f>IF(AND(Daten!$Z216&lt;=KINVARO!$AW$4,Daten!$AA216&gt;=KINVARO!$AW$4)=TRUE,1,0)</f>
        <v>0</v>
      </c>
      <c r="Q216" s="174"/>
      <c r="R216" s="174">
        <f>IF(AND(Daten!$AC216&lt;='Material+Limits'!$I$58,Daten!$AD216&gt;='Material+Limits'!$I$58)=TRUE,1,0)</f>
        <v>0</v>
      </c>
      <c r="S216" s="38">
        <f ca="1">IF(Daten!$X216=Sprache!$A$125,1,0)</f>
        <v>1</v>
      </c>
      <c r="T216" s="57" t="str">
        <f ca="1">Sprache!$A$57</f>
        <v>Podnośnik T-70</v>
      </c>
      <c r="U216" s="55">
        <f ca="1">Sprache!$A$64</f>
        <v>0</v>
      </c>
      <c r="V216" s="38">
        <f ca="1">Sprache!$A$64</f>
        <v>0</v>
      </c>
      <c r="W216" s="56" t="str">
        <f ca="1">Sprache!$A$60</f>
        <v>Front lity (drewno/płyta)</v>
      </c>
      <c r="X216" s="25">
        <f ca="1">Sprache!$A$126</f>
        <v>0</v>
      </c>
      <c r="Y216" s="56" t="str">
        <f ca="1">Sprache!$A$69</f>
        <v>Front</v>
      </c>
      <c r="Z216" s="56">
        <v>500</v>
      </c>
      <c r="AA216" s="57">
        <v>549</v>
      </c>
      <c r="AB216" s="56"/>
      <c r="AC216" s="58">
        <v>1.5</v>
      </c>
      <c r="AD216" s="59">
        <v>4</v>
      </c>
      <c r="AE216" s="56" t="s">
        <v>804</v>
      </c>
      <c r="AF216" s="56" t="str">
        <f ca="1">Sprache!$A$101</f>
        <v>Zestaw (prawy+lewy)</v>
      </c>
      <c r="AG216" s="56" t="s">
        <v>26</v>
      </c>
      <c r="AH216" s="56" t="str">
        <f ca="1">Sprache!$A$117</f>
        <v>Sprężyna biała</v>
      </c>
      <c r="AI216" s="25" t="s">
        <v>26</v>
      </c>
      <c r="AJ216" s="25" t="s">
        <v>26</v>
      </c>
      <c r="AK216" s="56">
        <f>'Material+Limits'!$K$9</f>
        <v>200</v>
      </c>
      <c r="AL216" s="57">
        <v>1200</v>
      </c>
      <c r="AM216" s="30"/>
      <c r="AN216" s="24"/>
      <c r="AO216"/>
      <c r="AR216"/>
      <c r="AS216"/>
      <c r="AT216"/>
      <c r="AU216"/>
      <c r="AV216"/>
    </row>
    <row r="217" spans="1:48" x14ac:dyDescent="0.25">
      <c r="A217" t="str">
        <f t="shared" ca="1" si="7"/>
        <v/>
      </c>
      <c r="B217" t="str">
        <f t="shared" ca="1" si="6"/>
        <v/>
      </c>
      <c r="C217" s="79">
        <f>IF('Material+Limits'!$P$7=TRUE,1,0)</f>
        <v>0</v>
      </c>
      <c r="D217" s="39">
        <f>IF(Daten!$O217+Daten!$P217+Daten!$R217=3,1,0)</f>
        <v>0</v>
      </c>
      <c r="E217" s="184">
        <f ca="1">IF(AND('Material+Limits'!$Q$21=TRUE,Daten!N217=1)=TRUE,1,0)</f>
        <v>1</v>
      </c>
      <c r="F217" s="185">
        <f ca="1">IF(AND('Material+Limits'!$Q$25=TRUE,Daten!M217=1)=TRUE,1,0)</f>
        <v>0</v>
      </c>
      <c r="G217" s="185">
        <f ca="1">IF(AND('Material+Limits'!$Q$24=TRUE,Daten!L217=1)=TRUE,1,0)</f>
        <v>0</v>
      </c>
      <c r="H217" s="185">
        <f ca="1">IF(AND('Material+Limits'!$Q$23=TRUE,Daten!K217=1)=TRUE,1,0)</f>
        <v>0</v>
      </c>
      <c r="I217" s="185">
        <f ca="1">IF(AND('Material+Limits'!$Q$22=TRUE,Daten!J217=1)=TRUE,1,0)</f>
        <v>0</v>
      </c>
      <c r="J217" s="155">
        <f ca="1">IF(Daten!$U217=13,1,0)</f>
        <v>0</v>
      </c>
      <c r="K217" s="156">
        <f ca="1">IF(Daten!$U217&lt;&gt;Daten!$V217,1,IF(Daten!$U217=14,1,0))</f>
        <v>0</v>
      </c>
      <c r="L217" s="156">
        <f ca="1">IF(Daten!$U217&lt;&gt;Daten!$V217,1,IF(Daten!$U217=16,1,0))</f>
        <v>0</v>
      </c>
      <c r="M217" s="156">
        <f ca="1">IF(Daten!$V217=17,1,0)</f>
        <v>0</v>
      </c>
      <c r="N217" s="157">
        <f ca="1">IF(Daten!$W217=Sprache!$A$60,1,0)</f>
        <v>1</v>
      </c>
      <c r="O217" s="169">
        <f>IF(AND(Daten!$AK217&lt;=KINVARO!$AW$3,Daten!$AL217&gt;=KINVARO!$AW$3)=TRUE,1,0)</f>
        <v>1</v>
      </c>
      <c r="P217" s="170">
        <f>IF(AND(Daten!$Z217&lt;=KINVARO!$AW$4,Daten!$AA217&gt;=KINVARO!$AW$4)=TRUE,1,0)</f>
        <v>0</v>
      </c>
      <c r="R217" s="170">
        <f>IF(AND(Daten!$AC217&lt;='Material+Limits'!$I$58,Daten!$AD217&gt;='Material+Limits'!$I$58)=TRUE,1,0)</f>
        <v>0</v>
      </c>
      <c r="S217" s="29">
        <f ca="1">IF(Daten!$X217=Sprache!$A$125,1,0)</f>
        <v>1</v>
      </c>
      <c r="T217" s="28" t="str">
        <f ca="1">Sprache!$A$57</f>
        <v>Podnośnik T-70</v>
      </c>
      <c r="U217" s="32">
        <f ca="1">Sprache!$A$64</f>
        <v>0</v>
      </c>
      <c r="V217" s="29">
        <f ca="1">Sprache!$A$64</f>
        <v>0</v>
      </c>
      <c r="W217" s="30" t="str">
        <f ca="1">Sprache!$A$60</f>
        <v>Front lity (drewno/płyta)</v>
      </c>
      <c r="X217" s="30">
        <f ca="1">Sprache!$A$126</f>
        <v>0</v>
      </c>
      <c r="Y217" s="30" t="str">
        <f ca="1">Sprache!$A$69</f>
        <v>Front</v>
      </c>
      <c r="Z217" s="30">
        <v>500</v>
      </c>
      <c r="AA217" s="28">
        <v>549</v>
      </c>
      <c r="AB217" s="30"/>
      <c r="AC217" s="31">
        <v>1.8</v>
      </c>
      <c r="AD217" s="53">
        <v>5</v>
      </c>
      <c r="AE217" s="30" t="s">
        <v>804</v>
      </c>
      <c r="AF217" s="30" t="str">
        <f ca="1">Sprache!$A$101</f>
        <v>Zestaw (prawy+lewy)</v>
      </c>
      <c r="AG217" s="30" t="s">
        <v>26</v>
      </c>
      <c r="AH217" s="30" t="str">
        <f ca="1">Sprache!$A$118</f>
        <v>Sprężyna pomarańczowa</v>
      </c>
      <c r="AI217" s="30" t="s">
        <v>26</v>
      </c>
      <c r="AJ217" s="30" t="s">
        <v>26</v>
      </c>
      <c r="AK217" s="30">
        <f>'Material+Limits'!$K$9</f>
        <v>200</v>
      </c>
      <c r="AL217" s="28">
        <v>1200</v>
      </c>
      <c r="AM217" s="30"/>
      <c r="AN217" s="28"/>
      <c r="AO217"/>
      <c r="AR217"/>
      <c r="AS217"/>
      <c r="AT217"/>
      <c r="AU217"/>
      <c r="AV217"/>
    </row>
    <row r="218" spans="1:48" x14ac:dyDescent="0.25">
      <c r="A218" t="str">
        <f t="shared" ca="1" si="7"/>
        <v/>
      </c>
      <c r="B218" t="str">
        <f t="shared" ca="1" si="6"/>
        <v/>
      </c>
      <c r="C218" s="79">
        <f>IF('Material+Limits'!$P$7=TRUE,1,0)</f>
        <v>0</v>
      </c>
      <c r="D218" s="39">
        <f>IF(Daten!$O218+Daten!$P218+Daten!$R218=3,1,0)</f>
        <v>0</v>
      </c>
      <c r="E218" s="184">
        <f ca="1">IF(AND('Material+Limits'!$Q$21=TRUE,Daten!N218=1)=TRUE,1,0)</f>
        <v>0</v>
      </c>
      <c r="F218" s="185">
        <f>IF(AND('Material+Limits'!$Q$25=TRUE,Daten!M218=1)=TRUE,1,0)</f>
        <v>0</v>
      </c>
      <c r="G218" s="185">
        <f>IF(AND('Material+Limits'!$Q$24=TRUE,Daten!L218=1)=TRUE,1,0)</f>
        <v>0</v>
      </c>
      <c r="H218" s="185">
        <f>IF(AND('Material+Limits'!$Q$23=TRUE,Daten!K218=1)=TRUE,1,0)</f>
        <v>0</v>
      </c>
      <c r="I218" s="185">
        <f>IF(AND('Material+Limits'!$Q$22=TRUE,Daten!J218=1)=TRUE,1,0)</f>
        <v>0</v>
      </c>
      <c r="J218" s="158">
        <f>IF(Daten!$U218=13,1,0)</f>
        <v>1</v>
      </c>
      <c r="K218" s="159">
        <f>IF(Daten!$U218&lt;&gt;Daten!$V218,1,IF(Daten!$U218=14,1,0))</f>
        <v>0</v>
      </c>
      <c r="L218" s="159">
        <f>IF(Daten!$U218&lt;&gt;Daten!$V218,1,IF(Daten!$U218=16,1,0))</f>
        <v>0</v>
      </c>
      <c r="M218" s="159">
        <f>IF(Daten!$V218=17,1,0)</f>
        <v>0</v>
      </c>
      <c r="N218" s="160">
        <f ca="1">IF(Daten!$W218=Sprache!$A$60,1,0)</f>
        <v>0</v>
      </c>
      <c r="O218" s="171">
        <f>IF(AND(Daten!$AK218&lt;=KINVARO!$AW$3,Daten!$AL218&gt;=KINVARO!$AW$3)=TRUE,1,0)</f>
        <v>1</v>
      </c>
      <c r="P218" s="172">
        <f>IF(AND(Daten!$Z218&lt;=KINVARO!$AW$4,Daten!$AA218&gt;=KINVARO!$AW$4)=TRUE,1,0)</f>
        <v>0</v>
      </c>
      <c r="Q218" s="172"/>
      <c r="R218" s="172">
        <f>IF(AND(Daten!$AC218&lt;='Material+Limits'!$I$58,Daten!$AD218&gt;='Material+Limits'!$I$58)=TRUE,1,0)</f>
        <v>0</v>
      </c>
      <c r="S218" s="23">
        <f ca="1">IF(Daten!$X218=Sprache!$A$125,1,0)</f>
        <v>1</v>
      </c>
      <c r="T218" s="24" t="str">
        <f ca="1">Sprache!$A$57</f>
        <v>Podnośnik T-70</v>
      </c>
      <c r="U218" s="27">
        <v>13</v>
      </c>
      <c r="V218" s="23">
        <v>13</v>
      </c>
      <c r="W218" s="25">
        <f ca="1">Sprache!$A$131</f>
        <v>0</v>
      </c>
      <c r="X218" s="25">
        <f ca="1">Sprache!$A$126</f>
        <v>0</v>
      </c>
      <c r="Y218" s="25" t="str">
        <f ca="1">Sprache!$A$69</f>
        <v>Front</v>
      </c>
      <c r="Z218" s="25">
        <v>500</v>
      </c>
      <c r="AA218" s="24">
        <v>549</v>
      </c>
      <c r="AB218" s="25"/>
      <c r="AC218" s="26">
        <v>1.5</v>
      </c>
      <c r="AD218" s="54">
        <v>4</v>
      </c>
      <c r="AE218" s="25" t="s">
        <v>805</v>
      </c>
      <c r="AF218" s="25" t="str">
        <f ca="1">Sprache!$A$101</f>
        <v>Zestaw (prawy+lewy)</v>
      </c>
      <c r="AG218" s="25" t="s">
        <v>26</v>
      </c>
      <c r="AH218" s="25" t="str">
        <f ca="1">Sprache!$A$117</f>
        <v>Sprężyna biała</v>
      </c>
      <c r="AI218" s="25" t="s">
        <v>26</v>
      </c>
      <c r="AJ218" s="25" t="s">
        <v>26</v>
      </c>
      <c r="AK218" s="25">
        <f>'Material+Limits'!$K$9</f>
        <v>200</v>
      </c>
      <c r="AL218" s="24">
        <v>1200</v>
      </c>
      <c r="AM218" s="30"/>
      <c r="AN218" s="24"/>
      <c r="AO218"/>
      <c r="AR218"/>
      <c r="AS218"/>
      <c r="AT218"/>
      <c r="AU218"/>
      <c r="AV218"/>
    </row>
    <row r="219" spans="1:48" x14ac:dyDescent="0.25">
      <c r="A219" t="str">
        <f t="shared" ca="1" si="7"/>
        <v/>
      </c>
      <c r="B219" t="str">
        <f t="shared" ca="1" si="6"/>
        <v/>
      </c>
      <c r="C219" s="79">
        <f>IF('Material+Limits'!$P$7=TRUE,1,0)</f>
        <v>0</v>
      </c>
      <c r="D219" s="39">
        <f>IF(Daten!$O219+Daten!$P219+Daten!$R219=3,1,0)</f>
        <v>0</v>
      </c>
      <c r="E219" s="184">
        <f ca="1">IF(AND('Material+Limits'!$Q$21=TRUE,Daten!N219=1)=TRUE,1,0)</f>
        <v>0</v>
      </c>
      <c r="F219" s="185">
        <f>IF(AND('Material+Limits'!$Q$25=TRUE,Daten!M219=1)=TRUE,1,0)</f>
        <v>0</v>
      </c>
      <c r="G219" s="185">
        <f>IF(AND('Material+Limits'!$Q$24=TRUE,Daten!L219=1)=TRUE,1,0)</f>
        <v>0</v>
      </c>
      <c r="H219" s="185">
        <f>IF(AND('Material+Limits'!$Q$23=TRUE,Daten!K219=1)=TRUE,1,0)</f>
        <v>0</v>
      </c>
      <c r="I219" s="185">
        <f>IF(AND('Material+Limits'!$Q$22=TRUE,Daten!J219=1)=TRUE,1,0)</f>
        <v>0</v>
      </c>
      <c r="J219" s="155">
        <f>IF(Daten!$U219=13,1,0)</f>
        <v>1</v>
      </c>
      <c r="K219" s="156">
        <f>IF(Daten!$U219&lt;&gt;Daten!$V219,1,IF(Daten!$U219=14,1,0))</f>
        <v>0</v>
      </c>
      <c r="L219" s="156">
        <f>IF(Daten!$U219&lt;&gt;Daten!$V219,1,IF(Daten!$U219=16,1,0))</f>
        <v>0</v>
      </c>
      <c r="M219" s="156">
        <f>IF(Daten!$V219=17,1,0)</f>
        <v>0</v>
      </c>
      <c r="N219" s="157">
        <f ca="1">IF(Daten!$W219=Sprache!$A$60,1,0)</f>
        <v>0</v>
      </c>
      <c r="O219" s="169">
        <f>IF(AND(Daten!$AK219&lt;=KINVARO!$AW$3,Daten!$AL219&gt;=KINVARO!$AW$3)=TRUE,1,0)</f>
        <v>1</v>
      </c>
      <c r="P219" s="170">
        <f>IF(AND(Daten!$Z219&lt;=KINVARO!$AW$4,Daten!$AA219&gt;=KINVARO!$AW$4)=TRUE,1,0)</f>
        <v>0</v>
      </c>
      <c r="R219" s="170">
        <f>IF(AND(Daten!$AC219&lt;='Material+Limits'!$I$58,Daten!$AD219&gt;='Material+Limits'!$I$58)=TRUE,1,0)</f>
        <v>0</v>
      </c>
      <c r="S219" s="29">
        <f ca="1">IF(Daten!$X219=Sprache!$A$125,1,0)</f>
        <v>1</v>
      </c>
      <c r="T219" s="28" t="str">
        <f ca="1">Sprache!$A$57</f>
        <v>Podnośnik T-70</v>
      </c>
      <c r="U219" s="32">
        <v>13</v>
      </c>
      <c r="V219" s="29">
        <v>13</v>
      </c>
      <c r="W219" s="30">
        <f ca="1">Sprache!$A$131</f>
        <v>0</v>
      </c>
      <c r="X219" s="30">
        <f ca="1">Sprache!$A$126</f>
        <v>0</v>
      </c>
      <c r="Y219" s="30" t="str">
        <f ca="1">Sprache!$A$69</f>
        <v>Front</v>
      </c>
      <c r="Z219" s="30">
        <v>500</v>
      </c>
      <c r="AA219" s="28">
        <v>549</v>
      </c>
      <c r="AB219" s="30"/>
      <c r="AC219" s="31">
        <v>1.8</v>
      </c>
      <c r="AD219" s="53">
        <v>5</v>
      </c>
      <c r="AE219" s="30" t="s">
        <v>805</v>
      </c>
      <c r="AF219" s="30" t="str">
        <f ca="1">Sprache!$A$101</f>
        <v>Zestaw (prawy+lewy)</v>
      </c>
      <c r="AG219" s="30" t="s">
        <v>26</v>
      </c>
      <c r="AH219" s="30" t="str">
        <f ca="1">Sprache!$A$118</f>
        <v>Sprężyna pomarańczowa</v>
      </c>
      <c r="AI219" s="30" t="s">
        <v>26</v>
      </c>
      <c r="AJ219" s="30" t="s">
        <v>26</v>
      </c>
      <c r="AK219" s="30">
        <f>'Material+Limits'!$K$9</f>
        <v>200</v>
      </c>
      <c r="AL219" s="28">
        <v>1200</v>
      </c>
      <c r="AM219" s="30"/>
      <c r="AN219" s="28"/>
      <c r="AO219"/>
      <c r="AR219"/>
      <c r="AS219"/>
      <c r="AT219"/>
      <c r="AU219"/>
      <c r="AV219"/>
    </row>
    <row r="220" spans="1:48" x14ac:dyDescent="0.25">
      <c r="A220" t="str">
        <f t="shared" ca="1" si="7"/>
        <v/>
      </c>
      <c r="B220" t="str">
        <f t="shared" ca="1" si="6"/>
        <v/>
      </c>
      <c r="C220" s="79">
        <f>IF('Material+Limits'!$P$7=TRUE,1,0)</f>
        <v>0</v>
      </c>
      <c r="D220" s="39">
        <f>IF(Daten!$O220+Daten!$P220+Daten!$R220=3,1,0)</f>
        <v>0</v>
      </c>
      <c r="E220" s="184">
        <f ca="1">IF(AND('Material+Limits'!$Q$21=TRUE,Daten!N220=1)=TRUE,1,0)</f>
        <v>0</v>
      </c>
      <c r="F220" s="185">
        <f>IF(AND('Material+Limits'!$Q$25=TRUE,Daten!M220=1)=TRUE,1,0)</f>
        <v>0</v>
      </c>
      <c r="G220" s="185">
        <f>IF(AND('Material+Limits'!$Q$24=TRUE,Daten!L220=1)=TRUE,1,0)</f>
        <v>0</v>
      </c>
      <c r="H220" s="185">
        <f>IF(AND('Material+Limits'!$Q$23=TRUE,Daten!K220=1)=TRUE,1,0)</f>
        <v>0</v>
      </c>
      <c r="I220" s="185">
        <f>IF(AND('Material+Limits'!$Q$22=TRUE,Daten!J220=1)=TRUE,1,0)</f>
        <v>0</v>
      </c>
      <c r="J220" s="158">
        <f>IF(Daten!$U220=13,1,0)</f>
        <v>0</v>
      </c>
      <c r="K220" s="159">
        <f>IF(Daten!$U220&lt;&gt;Daten!$V220,1,IF(Daten!$U220=14,1,0))</f>
        <v>1</v>
      </c>
      <c r="L220" s="159">
        <f>IF(Daten!$U220&lt;&gt;Daten!$V220,1,IF(Daten!$U220=16,1,0))</f>
        <v>0</v>
      </c>
      <c r="M220" s="159">
        <f>IF(Daten!$V220=17,1,0)</f>
        <v>0</v>
      </c>
      <c r="N220" s="160">
        <f ca="1">IF(Daten!$W220=Sprache!$A$60,1,0)</f>
        <v>0</v>
      </c>
      <c r="O220" s="171">
        <f>IF(AND(Daten!$AK220&lt;=KINVARO!$AW$3,Daten!$AL220&gt;=KINVARO!$AW$3)=TRUE,1,0)</f>
        <v>1</v>
      </c>
      <c r="P220" s="172">
        <f>IF(AND(Daten!$Z220&lt;=KINVARO!$AW$4,Daten!$AA220&gt;=KINVARO!$AW$4)=TRUE,1,0)</f>
        <v>0</v>
      </c>
      <c r="Q220" s="172"/>
      <c r="R220" s="172">
        <f>IF(AND(Daten!$AC220&lt;='Material+Limits'!$I$58,Daten!$AD220&gt;='Material+Limits'!$I$58)=TRUE,1,0)</f>
        <v>0</v>
      </c>
      <c r="S220" s="23">
        <f ca="1">IF(Daten!$X220=Sprache!$A$125,1,0)</f>
        <v>1</v>
      </c>
      <c r="T220" s="24" t="str">
        <f ca="1">Sprache!$A$57</f>
        <v>Podnośnik T-70</v>
      </c>
      <c r="U220" s="27">
        <v>14</v>
      </c>
      <c r="V220" s="23">
        <v>14</v>
      </c>
      <c r="W220" s="25">
        <f ca="1">Sprache!$A$131</f>
        <v>0</v>
      </c>
      <c r="X220" s="25">
        <f ca="1">Sprache!$A$126</f>
        <v>0</v>
      </c>
      <c r="Y220" s="25" t="str">
        <f ca="1">Sprache!$A$69</f>
        <v>Front</v>
      </c>
      <c r="Z220" s="25">
        <v>500</v>
      </c>
      <c r="AA220" s="24">
        <v>549</v>
      </c>
      <c r="AB220" s="25"/>
      <c r="AC220" s="26">
        <v>1.5</v>
      </c>
      <c r="AD220" s="54">
        <v>4</v>
      </c>
      <c r="AE220" s="25" t="s">
        <v>806</v>
      </c>
      <c r="AF220" s="25" t="str">
        <f ca="1">Sprache!$A$101</f>
        <v>Zestaw (prawy+lewy)</v>
      </c>
      <c r="AG220" s="25" t="s">
        <v>26</v>
      </c>
      <c r="AH220" s="25" t="str">
        <f ca="1">Sprache!$A$117</f>
        <v>Sprężyna biała</v>
      </c>
      <c r="AI220" s="25" t="s">
        <v>26</v>
      </c>
      <c r="AJ220" s="25" t="s">
        <v>26</v>
      </c>
      <c r="AK220" s="25">
        <f>'Material+Limits'!$K$9</f>
        <v>200</v>
      </c>
      <c r="AL220" s="24">
        <v>1200</v>
      </c>
      <c r="AM220" s="30"/>
      <c r="AN220" s="24"/>
      <c r="AO220"/>
      <c r="AR220"/>
      <c r="AS220"/>
      <c r="AT220"/>
      <c r="AU220"/>
      <c r="AV220"/>
    </row>
    <row r="221" spans="1:48" x14ac:dyDescent="0.25">
      <c r="A221" t="str">
        <f t="shared" ca="1" si="7"/>
        <v/>
      </c>
      <c r="B221" t="str">
        <f t="shared" ca="1" si="6"/>
        <v/>
      </c>
      <c r="C221" s="79">
        <f>IF('Material+Limits'!$P$7=TRUE,1,0)</f>
        <v>0</v>
      </c>
      <c r="D221" s="39">
        <f>IF(Daten!$O221+Daten!$P221+Daten!$R221=3,1,0)</f>
        <v>0</v>
      </c>
      <c r="E221" s="184">
        <f ca="1">IF(AND('Material+Limits'!$Q$21=TRUE,Daten!N221=1)=TRUE,1,0)</f>
        <v>0</v>
      </c>
      <c r="F221" s="185">
        <f>IF(AND('Material+Limits'!$Q$25=TRUE,Daten!M221=1)=TRUE,1,0)</f>
        <v>0</v>
      </c>
      <c r="G221" s="185">
        <f>IF(AND('Material+Limits'!$Q$24=TRUE,Daten!L221=1)=TRUE,1,0)</f>
        <v>0</v>
      </c>
      <c r="H221" s="185">
        <f>IF(AND('Material+Limits'!$Q$23=TRUE,Daten!K221=1)=TRUE,1,0)</f>
        <v>0</v>
      </c>
      <c r="I221" s="185">
        <f>IF(AND('Material+Limits'!$Q$22=TRUE,Daten!J221=1)=TRUE,1,0)</f>
        <v>0</v>
      </c>
      <c r="J221" s="155">
        <f>IF(Daten!$U221=13,1,0)</f>
        <v>0</v>
      </c>
      <c r="K221" s="156">
        <f>IF(Daten!$U221&lt;&gt;Daten!$V221,1,IF(Daten!$U221=14,1,0))</f>
        <v>1</v>
      </c>
      <c r="L221" s="156">
        <f>IF(Daten!$U221&lt;&gt;Daten!$V221,1,IF(Daten!$U221=16,1,0))</f>
        <v>0</v>
      </c>
      <c r="M221" s="156">
        <f>IF(Daten!$V221=17,1,0)</f>
        <v>0</v>
      </c>
      <c r="N221" s="157">
        <f ca="1">IF(Daten!$W221=Sprache!$A$60,1,0)</f>
        <v>0</v>
      </c>
      <c r="O221" s="169">
        <f>IF(AND(Daten!$AK221&lt;=KINVARO!$AW$3,Daten!$AL221&gt;=KINVARO!$AW$3)=TRUE,1,0)</f>
        <v>1</v>
      </c>
      <c r="P221" s="170">
        <f>IF(AND(Daten!$Z221&lt;=KINVARO!$AW$4,Daten!$AA221&gt;=KINVARO!$AW$4)=TRUE,1,0)</f>
        <v>0</v>
      </c>
      <c r="R221" s="170">
        <f>IF(AND(Daten!$AC221&lt;='Material+Limits'!$I$58,Daten!$AD221&gt;='Material+Limits'!$I$58)=TRUE,1,0)</f>
        <v>0</v>
      </c>
      <c r="S221" s="29">
        <f ca="1">IF(Daten!$X221=Sprache!$A$125,1,0)</f>
        <v>1</v>
      </c>
      <c r="T221" s="28" t="str">
        <f ca="1">Sprache!$A$57</f>
        <v>Podnośnik T-70</v>
      </c>
      <c r="U221" s="32">
        <v>14</v>
      </c>
      <c r="V221" s="29">
        <v>14</v>
      </c>
      <c r="W221" s="30">
        <f ca="1">Sprache!$A$131</f>
        <v>0</v>
      </c>
      <c r="X221" s="30">
        <f ca="1">Sprache!$A$126</f>
        <v>0</v>
      </c>
      <c r="Y221" s="30" t="str">
        <f ca="1">Sprache!$A$69</f>
        <v>Front</v>
      </c>
      <c r="Z221" s="30">
        <v>500</v>
      </c>
      <c r="AA221" s="28">
        <v>549</v>
      </c>
      <c r="AB221" s="30"/>
      <c r="AC221" s="31">
        <v>1.8</v>
      </c>
      <c r="AD221" s="53">
        <v>5</v>
      </c>
      <c r="AE221" s="30" t="s">
        <v>806</v>
      </c>
      <c r="AF221" s="30" t="str">
        <f ca="1">Sprache!$A$101</f>
        <v>Zestaw (prawy+lewy)</v>
      </c>
      <c r="AG221" s="30" t="s">
        <v>26</v>
      </c>
      <c r="AH221" s="30" t="str">
        <f ca="1">Sprache!$A$118</f>
        <v>Sprężyna pomarańczowa</v>
      </c>
      <c r="AI221" s="30" t="s">
        <v>26</v>
      </c>
      <c r="AJ221" s="30" t="s">
        <v>26</v>
      </c>
      <c r="AK221" s="30">
        <f>'Material+Limits'!$K$9</f>
        <v>200</v>
      </c>
      <c r="AL221" s="28">
        <v>1200</v>
      </c>
      <c r="AM221" s="30"/>
      <c r="AN221" s="28"/>
      <c r="AO221"/>
      <c r="AR221"/>
      <c r="AS221"/>
      <c r="AT221"/>
      <c r="AU221"/>
      <c r="AV221"/>
    </row>
    <row r="222" spans="1:48" x14ac:dyDescent="0.25">
      <c r="A222" t="str">
        <f t="shared" ca="1" si="7"/>
        <v/>
      </c>
      <c r="B222" t="str">
        <f t="shared" ca="1" si="6"/>
        <v/>
      </c>
      <c r="C222" s="79">
        <f>IF('Material+Limits'!$P$7=TRUE,1,0)</f>
        <v>0</v>
      </c>
      <c r="D222" s="39">
        <f>IF(Daten!$O222+Daten!$P222+Daten!$R222=3,1,0)</f>
        <v>0</v>
      </c>
      <c r="E222" s="184">
        <f ca="1">IF(AND('Material+Limits'!$Q$21=TRUE,Daten!N222=1)=TRUE,1,0)</f>
        <v>0</v>
      </c>
      <c r="F222" s="185">
        <f>IF(AND('Material+Limits'!$Q$25=TRUE,Daten!M222=1)=TRUE,1,0)</f>
        <v>0</v>
      </c>
      <c r="G222" s="185">
        <f>IF(AND('Material+Limits'!$Q$24=TRUE,Daten!L222=1)=TRUE,1,0)</f>
        <v>0</v>
      </c>
      <c r="H222" s="185">
        <f>IF(AND('Material+Limits'!$Q$23=TRUE,Daten!K222=1)=TRUE,1,0)</f>
        <v>0</v>
      </c>
      <c r="I222" s="185">
        <f>IF(AND('Material+Limits'!$Q$22=TRUE,Daten!J222=1)=TRUE,1,0)</f>
        <v>0</v>
      </c>
      <c r="J222" s="158">
        <f>IF(Daten!$U222=13,1,0)</f>
        <v>0</v>
      </c>
      <c r="K222" s="159">
        <f>IF(Daten!$U222&lt;&gt;Daten!$V222,1,IF(Daten!$U222=14,1,0))</f>
        <v>0</v>
      </c>
      <c r="L222" s="159">
        <f>IF(Daten!$U222&lt;&gt;Daten!$V222,1,IF(Daten!$U222=16,1,0))</f>
        <v>1</v>
      </c>
      <c r="M222" s="159">
        <f>IF(Daten!$V222=17,1,0)</f>
        <v>0</v>
      </c>
      <c r="N222" s="160">
        <f ca="1">IF(Daten!$W222=Sprache!$A$60,1,0)</f>
        <v>0</v>
      </c>
      <c r="O222" s="171">
        <f>IF(AND(Daten!$AK222&lt;=KINVARO!$AW$3,Daten!$AL222&gt;=KINVARO!$AW$3)=TRUE,1,0)</f>
        <v>1</v>
      </c>
      <c r="P222" s="172">
        <f>IF(AND(Daten!$Z222&lt;=KINVARO!$AW$4,Daten!$AA222&gt;=KINVARO!$AW$4)=TRUE,1,0)</f>
        <v>0</v>
      </c>
      <c r="Q222" s="172"/>
      <c r="R222" s="172">
        <f>IF(AND(Daten!$AC222&lt;='Material+Limits'!$I$58,Daten!$AD222&gt;='Material+Limits'!$I$58)=TRUE,1,0)</f>
        <v>0</v>
      </c>
      <c r="S222" s="23">
        <f ca="1">IF(Daten!$X222=Sprache!$A$125,1,0)</f>
        <v>1</v>
      </c>
      <c r="T222" s="24" t="str">
        <f ca="1">Sprache!$A$57</f>
        <v>Podnośnik T-70</v>
      </c>
      <c r="U222" s="27">
        <v>16</v>
      </c>
      <c r="V222" s="23">
        <v>16</v>
      </c>
      <c r="W222" s="25">
        <f ca="1">Sprache!$A$131</f>
        <v>0</v>
      </c>
      <c r="X222" s="25">
        <f ca="1">Sprache!$A$126</f>
        <v>0</v>
      </c>
      <c r="Y222" s="25" t="str">
        <f ca="1">Sprache!$A$69</f>
        <v>Front</v>
      </c>
      <c r="Z222" s="25">
        <v>500</v>
      </c>
      <c r="AA222" s="24">
        <v>549</v>
      </c>
      <c r="AB222" s="25"/>
      <c r="AC222" s="26">
        <v>1.5</v>
      </c>
      <c r="AD222" s="54">
        <v>4</v>
      </c>
      <c r="AE222" s="25" t="s">
        <v>807</v>
      </c>
      <c r="AF222" s="25" t="str">
        <f ca="1">Sprache!$A$101</f>
        <v>Zestaw (prawy+lewy)</v>
      </c>
      <c r="AG222" s="25" t="s">
        <v>26</v>
      </c>
      <c r="AH222" s="25" t="str">
        <f ca="1">Sprache!$A$117</f>
        <v>Sprężyna biała</v>
      </c>
      <c r="AI222" s="25" t="s">
        <v>26</v>
      </c>
      <c r="AJ222" s="25" t="s">
        <v>26</v>
      </c>
      <c r="AK222" s="25">
        <f>'Material+Limits'!$K$9</f>
        <v>200</v>
      </c>
      <c r="AL222" s="24">
        <v>1200</v>
      </c>
      <c r="AM222" s="30"/>
      <c r="AN222" s="24"/>
      <c r="AO222"/>
      <c r="AR222"/>
      <c r="AS222"/>
      <c r="AT222"/>
      <c r="AU222"/>
      <c r="AV222"/>
    </row>
    <row r="223" spans="1:48" x14ac:dyDescent="0.25">
      <c r="A223" t="str">
        <f t="shared" ca="1" si="7"/>
        <v/>
      </c>
      <c r="B223" t="str">
        <f t="shared" ca="1" si="6"/>
        <v/>
      </c>
      <c r="C223" s="79">
        <f>IF('Material+Limits'!$P$7=TRUE,1,0)</f>
        <v>0</v>
      </c>
      <c r="D223" s="39">
        <f>IF(Daten!$O223+Daten!$P223+Daten!$R223=3,1,0)</f>
        <v>0</v>
      </c>
      <c r="E223" s="184">
        <f ca="1">IF(AND('Material+Limits'!$Q$21=TRUE,Daten!N223=1)=TRUE,1,0)</f>
        <v>0</v>
      </c>
      <c r="F223" s="185">
        <f>IF(AND('Material+Limits'!$Q$25=TRUE,Daten!M223=1)=TRUE,1,0)</f>
        <v>0</v>
      </c>
      <c r="G223" s="185">
        <f>IF(AND('Material+Limits'!$Q$24=TRUE,Daten!L223=1)=TRUE,1,0)</f>
        <v>0</v>
      </c>
      <c r="H223" s="185">
        <f>IF(AND('Material+Limits'!$Q$23=TRUE,Daten!K223=1)=TRUE,1,0)</f>
        <v>0</v>
      </c>
      <c r="I223" s="185">
        <f>IF(AND('Material+Limits'!$Q$22=TRUE,Daten!J223=1)=TRUE,1,0)</f>
        <v>0</v>
      </c>
      <c r="J223" s="155">
        <f>IF(Daten!$U223=13,1,0)</f>
        <v>0</v>
      </c>
      <c r="K223" s="156">
        <f>IF(Daten!$U223&lt;&gt;Daten!$V223,1,IF(Daten!$U223=14,1,0))</f>
        <v>0</v>
      </c>
      <c r="L223" s="156">
        <f>IF(Daten!$U223&lt;&gt;Daten!$V223,1,IF(Daten!$U223=16,1,0))</f>
        <v>1</v>
      </c>
      <c r="M223" s="156">
        <f>IF(Daten!$V223=17,1,0)</f>
        <v>0</v>
      </c>
      <c r="N223" s="157">
        <f ca="1">IF(Daten!$W223=Sprache!$A$60,1,0)</f>
        <v>0</v>
      </c>
      <c r="O223" s="169">
        <f>IF(AND(Daten!$AK223&lt;=KINVARO!$AW$3,Daten!$AL223&gt;=KINVARO!$AW$3)=TRUE,1,0)</f>
        <v>1</v>
      </c>
      <c r="P223" s="170">
        <f>IF(AND(Daten!$Z223&lt;=KINVARO!$AW$4,Daten!$AA223&gt;=KINVARO!$AW$4)=TRUE,1,0)</f>
        <v>0</v>
      </c>
      <c r="R223" s="170">
        <f>IF(AND(Daten!$AC223&lt;='Material+Limits'!$I$58,Daten!$AD223&gt;='Material+Limits'!$I$58)=TRUE,1,0)</f>
        <v>0</v>
      </c>
      <c r="S223" s="29">
        <f ca="1">IF(Daten!$X223=Sprache!$A$125,1,0)</f>
        <v>1</v>
      </c>
      <c r="T223" s="28" t="str">
        <f ca="1">Sprache!$A$57</f>
        <v>Podnośnik T-70</v>
      </c>
      <c r="U223" s="32">
        <v>16</v>
      </c>
      <c r="V223" s="29">
        <v>16</v>
      </c>
      <c r="W223" s="30">
        <f ca="1">Sprache!$A$131</f>
        <v>0</v>
      </c>
      <c r="X223" s="30">
        <f ca="1">Sprache!$A$126</f>
        <v>0</v>
      </c>
      <c r="Y223" s="30" t="str">
        <f ca="1">Sprache!$A$69</f>
        <v>Front</v>
      </c>
      <c r="Z223" s="30">
        <v>500</v>
      </c>
      <c r="AA223" s="28">
        <v>549</v>
      </c>
      <c r="AB223" s="30"/>
      <c r="AC223" s="31">
        <v>1.8</v>
      </c>
      <c r="AD223" s="53">
        <v>5</v>
      </c>
      <c r="AE223" s="30" t="s">
        <v>807</v>
      </c>
      <c r="AF223" s="30" t="str">
        <f ca="1">Sprache!$A$101</f>
        <v>Zestaw (prawy+lewy)</v>
      </c>
      <c r="AG223" s="30" t="s">
        <v>26</v>
      </c>
      <c r="AH223" s="30" t="str">
        <f ca="1">Sprache!$A$118</f>
        <v>Sprężyna pomarańczowa</v>
      </c>
      <c r="AI223" s="30" t="s">
        <v>26</v>
      </c>
      <c r="AJ223" s="30" t="s">
        <v>26</v>
      </c>
      <c r="AK223" s="30">
        <f>'Material+Limits'!$K$9</f>
        <v>200</v>
      </c>
      <c r="AL223" s="28">
        <v>1200</v>
      </c>
      <c r="AM223" s="30"/>
      <c r="AN223" s="28"/>
      <c r="AO223"/>
      <c r="AR223"/>
      <c r="AS223"/>
      <c r="AT223"/>
      <c r="AU223"/>
      <c r="AV223"/>
    </row>
    <row r="224" spans="1:48" x14ac:dyDescent="0.25">
      <c r="A224" t="str">
        <f t="shared" ca="1" si="7"/>
        <v/>
      </c>
      <c r="B224" t="str">
        <f t="shared" ca="1" si="6"/>
        <v/>
      </c>
      <c r="C224" s="79">
        <f>IF('Material+Limits'!$P$7=TRUE,1,0)</f>
        <v>0</v>
      </c>
      <c r="D224" s="39">
        <f>IF(Daten!$O224+Daten!$P224+Daten!$R224=3,1,0)</f>
        <v>0</v>
      </c>
      <c r="E224" s="184">
        <f ca="1">IF(AND('Material+Limits'!$Q$21=TRUE,Daten!N224=1)=TRUE,1,0)</f>
        <v>0</v>
      </c>
      <c r="F224" s="185">
        <f>IF(AND('Material+Limits'!$Q$25=TRUE,Daten!M224=1)=TRUE,1,0)</f>
        <v>0</v>
      </c>
      <c r="G224" s="185">
        <f>IF(AND('Material+Limits'!$Q$24=TRUE,Daten!L224=1)=TRUE,1,0)</f>
        <v>0</v>
      </c>
      <c r="H224" s="185">
        <f>IF(AND('Material+Limits'!$Q$23=TRUE,Daten!K224=1)=TRUE,1,0)</f>
        <v>0</v>
      </c>
      <c r="I224" s="185">
        <f>IF(AND('Material+Limits'!$Q$22=TRUE,Daten!J224=1)=TRUE,1,0)</f>
        <v>0</v>
      </c>
      <c r="J224" s="158">
        <f>IF(Daten!$U224=13,1,0)</f>
        <v>0</v>
      </c>
      <c r="K224" s="159">
        <f>IF(Daten!$U224&lt;&gt;Daten!$V224,1,IF(Daten!$U224=14,1,0))</f>
        <v>0</v>
      </c>
      <c r="L224" s="159">
        <f>IF(Daten!$U224&lt;&gt;Daten!$V224,1,IF(Daten!$U224=16,1,0))</f>
        <v>0</v>
      </c>
      <c r="M224" s="159">
        <f>IF(Daten!$V224=17,1,0)</f>
        <v>1</v>
      </c>
      <c r="N224" s="160">
        <f ca="1">IF(Daten!$W224=Sprache!$A$60,1,0)</f>
        <v>0</v>
      </c>
      <c r="O224" s="171">
        <f>IF(AND(Daten!$AK224&lt;=KINVARO!$AW$3,Daten!$AL224&gt;=KINVARO!$AW$3)=TRUE,1,0)</f>
        <v>1</v>
      </c>
      <c r="P224" s="172">
        <f>IF(AND(Daten!$Z224&lt;=KINVARO!$AW$4,Daten!$AA224&gt;=KINVARO!$AW$4)=TRUE,1,0)</f>
        <v>0</v>
      </c>
      <c r="Q224" s="172"/>
      <c r="R224" s="172">
        <f>IF(AND(Daten!$AC224&lt;='Material+Limits'!$I$58,Daten!$AD224&gt;='Material+Limits'!$I$58)=TRUE,1,0)</f>
        <v>0</v>
      </c>
      <c r="S224" s="23">
        <f ca="1">IF(Daten!$X224=Sprache!$A$125,1,0)</f>
        <v>1</v>
      </c>
      <c r="T224" s="24" t="str">
        <f ca="1">Sprache!$A$57</f>
        <v>Podnośnik T-70</v>
      </c>
      <c r="U224" s="27">
        <v>17</v>
      </c>
      <c r="V224" s="23">
        <v>17</v>
      </c>
      <c r="W224" s="25">
        <f ca="1">Sprache!$A$131</f>
        <v>0</v>
      </c>
      <c r="X224" s="25">
        <f ca="1">Sprache!$A$126</f>
        <v>0</v>
      </c>
      <c r="Y224" s="25" t="str">
        <f ca="1">Sprache!$A$69</f>
        <v>Front</v>
      </c>
      <c r="Z224" s="25">
        <v>500</v>
      </c>
      <c r="AA224" s="24">
        <v>549</v>
      </c>
      <c r="AB224" s="25"/>
      <c r="AC224" s="26">
        <v>1.5</v>
      </c>
      <c r="AD224" s="54">
        <v>4</v>
      </c>
      <c r="AE224" s="25" t="s">
        <v>808</v>
      </c>
      <c r="AF224" s="25" t="str">
        <f ca="1">Sprache!$A$101</f>
        <v>Zestaw (prawy+lewy)</v>
      </c>
      <c r="AG224" s="25" t="s">
        <v>26</v>
      </c>
      <c r="AH224" s="25" t="str">
        <f ca="1">Sprache!$A$117</f>
        <v>Sprężyna biała</v>
      </c>
      <c r="AI224" s="25" t="s">
        <v>26</v>
      </c>
      <c r="AJ224" s="25" t="s">
        <v>26</v>
      </c>
      <c r="AK224" s="25">
        <f>'Material+Limits'!$K$9</f>
        <v>200</v>
      </c>
      <c r="AL224" s="24">
        <v>1200</v>
      </c>
      <c r="AM224" s="30"/>
      <c r="AN224" s="24"/>
      <c r="AO224"/>
      <c r="AR224"/>
      <c r="AS224"/>
      <c r="AT224"/>
      <c r="AU224"/>
      <c r="AV224"/>
    </row>
    <row r="225" spans="1:48" s="5" customFormat="1" x14ac:dyDescent="0.25">
      <c r="A225" t="str">
        <f t="shared" ca="1" si="7"/>
        <v/>
      </c>
      <c r="B225" t="str">
        <f t="shared" ca="1" si="6"/>
        <v/>
      </c>
      <c r="C225" s="79">
        <f>IF('Material+Limits'!$P$7=TRUE,1,0)</f>
        <v>0</v>
      </c>
      <c r="D225" s="39">
        <f>IF(Daten!$O225+Daten!$P225+Daten!$R225=3,1,0)</f>
        <v>0</v>
      </c>
      <c r="E225" s="184">
        <f ca="1">IF(AND('Material+Limits'!$Q$21=TRUE,Daten!N225=1)=TRUE,1,0)</f>
        <v>0</v>
      </c>
      <c r="F225" s="185">
        <f>IF(AND('Material+Limits'!$Q$25=TRUE,Daten!M225=1)=TRUE,1,0)</f>
        <v>0</v>
      </c>
      <c r="G225" s="185">
        <f>IF(AND('Material+Limits'!$Q$24=TRUE,Daten!L225=1)=TRUE,1,0)</f>
        <v>0</v>
      </c>
      <c r="H225" s="185">
        <f>IF(AND('Material+Limits'!$Q$23=TRUE,Daten!K225=1)=TRUE,1,0)</f>
        <v>0</v>
      </c>
      <c r="I225" s="185">
        <f>IF(AND('Material+Limits'!$Q$22=TRUE,Daten!J225=1)=TRUE,1,0)</f>
        <v>0</v>
      </c>
      <c r="J225" s="155">
        <f>IF(Daten!$U225=13,1,0)</f>
        <v>0</v>
      </c>
      <c r="K225" s="156">
        <f>IF(Daten!$U225&lt;&gt;Daten!$V225,1,IF(Daten!$U225=14,1,0))</f>
        <v>0</v>
      </c>
      <c r="L225" s="156">
        <f>IF(Daten!$U225&lt;&gt;Daten!$V225,1,IF(Daten!$U225=16,1,0))</f>
        <v>0</v>
      </c>
      <c r="M225" s="156">
        <f>IF(Daten!$V225=17,1,0)</f>
        <v>1</v>
      </c>
      <c r="N225" s="157">
        <f ca="1">IF(Daten!$W225=Sprache!$A$60,1,0)</f>
        <v>0</v>
      </c>
      <c r="O225" s="169">
        <f>IF(AND(Daten!$AK225&lt;=KINVARO!$AW$3,Daten!$AL225&gt;=KINVARO!$AW$3)=TRUE,1,0)</f>
        <v>1</v>
      </c>
      <c r="P225" s="170">
        <f>IF(AND(Daten!$Z225&lt;=KINVARO!$AW$4,Daten!$AA225&gt;=KINVARO!$AW$4)=TRUE,1,0)</f>
        <v>0</v>
      </c>
      <c r="Q225" s="170"/>
      <c r="R225" s="170">
        <f>IF(AND(Daten!$AC225&lt;='Material+Limits'!$I$58,Daten!$AD225&gt;='Material+Limits'!$I$58)=TRUE,1,0)</f>
        <v>0</v>
      </c>
      <c r="S225" s="29">
        <f ca="1">IF(Daten!$X225=Sprache!$A$125,1,0)</f>
        <v>1</v>
      </c>
      <c r="T225" s="28" t="str">
        <f ca="1">Sprache!$A$57</f>
        <v>Podnośnik T-70</v>
      </c>
      <c r="U225" s="32">
        <v>17</v>
      </c>
      <c r="V225" s="29">
        <v>17</v>
      </c>
      <c r="W225" s="30">
        <f ca="1">Sprache!$A$131</f>
        <v>0</v>
      </c>
      <c r="X225" s="30">
        <f ca="1">Sprache!$A$126</f>
        <v>0</v>
      </c>
      <c r="Y225" s="30" t="str">
        <f ca="1">Sprache!$A$69</f>
        <v>Front</v>
      </c>
      <c r="Z225" s="30">
        <v>500</v>
      </c>
      <c r="AA225" s="28">
        <v>549</v>
      </c>
      <c r="AB225" s="30"/>
      <c r="AC225" s="31">
        <v>1.8</v>
      </c>
      <c r="AD225" s="53">
        <v>5</v>
      </c>
      <c r="AE225" s="30" t="s">
        <v>808</v>
      </c>
      <c r="AF225" s="30" t="str">
        <f ca="1">Sprache!$A$101</f>
        <v>Zestaw (prawy+lewy)</v>
      </c>
      <c r="AG225" s="30" t="s">
        <v>26</v>
      </c>
      <c r="AH225" s="30" t="str">
        <f ca="1">Sprache!$A$118</f>
        <v>Sprężyna pomarańczowa</v>
      </c>
      <c r="AI225" s="30" t="s">
        <v>26</v>
      </c>
      <c r="AJ225" s="30" t="s">
        <v>26</v>
      </c>
      <c r="AK225" s="30">
        <f>'Material+Limits'!$K$9</f>
        <v>200</v>
      </c>
      <c r="AL225" s="28">
        <v>1200</v>
      </c>
      <c r="AM225" s="30"/>
      <c r="AN225" s="28"/>
    </row>
    <row r="226" spans="1:48" x14ac:dyDescent="0.25">
      <c r="A226" t="str">
        <f t="shared" ca="1" si="7"/>
        <v/>
      </c>
      <c r="B226" t="str">
        <f t="shared" ca="1" si="6"/>
        <v/>
      </c>
      <c r="C226" s="79">
        <f>IF('Material+Limits'!$P$7=TRUE,1,0)</f>
        <v>0</v>
      </c>
      <c r="D226" s="39">
        <f>IF(Daten!$O226+Daten!$P226+Daten!$R226=3,1,0)</f>
        <v>0</v>
      </c>
      <c r="E226" s="184">
        <f ca="1">IF(AND('Material+Limits'!$Q$21=TRUE,Daten!N226=1)=TRUE,1,0)</f>
        <v>1</v>
      </c>
      <c r="F226" s="185">
        <f ca="1">IF(AND('Material+Limits'!$Q$25=TRUE,Daten!M226=1)=TRUE,1,0)</f>
        <v>0</v>
      </c>
      <c r="G226" s="185">
        <f ca="1">IF(AND('Material+Limits'!$Q$24=TRUE,Daten!L226=1)=TRUE,1,0)</f>
        <v>0</v>
      </c>
      <c r="H226" s="185">
        <f ca="1">IF(AND('Material+Limits'!$Q$23=TRUE,Daten!K226=1)=TRUE,1,0)</f>
        <v>0</v>
      </c>
      <c r="I226" s="185">
        <f ca="1">IF(AND('Material+Limits'!$Q$22=TRUE,Daten!J226=1)=TRUE,1,0)</f>
        <v>0</v>
      </c>
      <c r="J226" s="158">
        <f ca="1">IF(Daten!$U226=13,1,0)</f>
        <v>0</v>
      </c>
      <c r="K226" s="159">
        <f ca="1">IF(Daten!$U226&lt;&gt;Daten!$V226,1,IF(Daten!$U226=14,1,0))</f>
        <v>0</v>
      </c>
      <c r="L226" s="159">
        <f ca="1">IF(Daten!$U226&lt;&gt;Daten!$V226,1,IF(Daten!$U226=16,1,0))</f>
        <v>0</v>
      </c>
      <c r="M226" s="159">
        <f ca="1">IF(Daten!$V226=17,1,0)</f>
        <v>0</v>
      </c>
      <c r="N226" s="160">
        <f ca="1">IF(Daten!$W226=Sprache!$A$60,1,0)</f>
        <v>1</v>
      </c>
      <c r="O226" s="173">
        <f>IF(AND(Daten!$AK226&lt;=KINVARO!$AW$3,Daten!$AL226&gt;=KINVARO!$AW$3)=TRUE,1,0)</f>
        <v>1</v>
      </c>
      <c r="P226" s="174">
        <f>IF(AND(Daten!$Z226&lt;=KINVARO!$AW$4,Daten!$AA226&gt;=KINVARO!$AW$4)=TRUE,1,0)</f>
        <v>1</v>
      </c>
      <c r="Q226" s="174"/>
      <c r="R226" s="174">
        <f>IF(AND(Daten!$AC226&lt;='Material+Limits'!$I$58,Daten!$AD226&gt;='Material+Limits'!$I$58)=TRUE,1,0)</f>
        <v>0</v>
      </c>
      <c r="S226" s="38">
        <f ca="1">IF(Daten!$X226=Sprache!$A$125,1,0)</f>
        <v>1</v>
      </c>
      <c r="T226" s="57" t="str">
        <f ca="1">Sprache!$A$57</f>
        <v>Podnośnik T-70</v>
      </c>
      <c r="U226" s="55">
        <f ca="1">Sprache!$A$64</f>
        <v>0</v>
      </c>
      <c r="V226" s="38">
        <f ca="1">Sprache!$A$64</f>
        <v>0</v>
      </c>
      <c r="W226" s="56" t="str">
        <f ca="1">Sprache!$A$60</f>
        <v>Front lity (drewno/płyta)</v>
      </c>
      <c r="X226" s="25">
        <f ca="1">Sprache!$A$126</f>
        <v>0</v>
      </c>
      <c r="Y226" s="56" t="str">
        <f ca="1">Sprache!$A$69</f>
        <v>Front</v>
      </c>
      <c r="Z226" s="56">
        <v>550</v>
      </c>
      <c r="AA226" s="57">
        <v>599</v>
      </c>
      <c r="AB226" s="56"/>
      <c r="AC226" s="58">
        <v>1.4</v>
      </c>
      <c r="AD226" s="59">
        <v>3.7</v>
      </c>
      <c r="AE226" s="56" t="s">
        <v>804</v>
      </c>
      <c r="AF226" s="56" t="str">
        <f ca="1">Sprache!$A$101</f>
        <v>Zestaw (prawy+lewy)</v>
      </c>
      <c r="AG226" s="56" t="s">
        <v>26</v>
      </c>
      <c r="AH226" s="56" t="str">
        <f ca="1">Sprache!$A$117</f>
        <v>Sprężyna biała</v>
      </c>
      <c r="AI226" s="25" t="s">
        <v>26</v>
      </c>
      <c r="AJ226" s="25" t="s">
        <v>26</v>
      </c>
      <c r="AK226" s="56">
        <f>'Material+Limits'!$K$9</f>
        <v>200</v>
      </c>
      <c r="AL226" s="57">
        <v>1200</v>
      </c>
      <c r="AM226" s="30"/>
      <c r="AN226" s="24"/>
      <c r="AO226"/>
      <c r="AR226"/>
      <c r="AS226"/>
      <c r="AT226"/>
      <c r="AU226"/>
      <c r="AV226"/>
    </row>
    <row r="227" spans="1:48" x14ac:dyDescent="0.25">
      <c r="A227" t="str">
        <f t="shared" ca="1" si="7"/>
        <v/>
      </c>
      <c r="B227" t="str">
        <f t="shared" ca="1" si="6"/>
        <v/>
      </c>
      <c r="C227" s="79">
        <f>IF('Material+Limits'!$P$7=TRUE,1,0)</f>
        <v>0</v>
      </c>
      <c r="D227" s="39">
        <f>IF(Daten!$O227+Daten!$P227+Daten!$R227=3,1,0)</f>
        <v>0</v>
      </c>
      <c r="E227" s="184">
        <f ca="1">IF(AND('Material+Limits'!$Q$21=TRUE,Daten!N227=1)=TRUE,1,0)</f>
        <v>1</v>
      </c>
      <c r="F227" s="185">
        <f ca="1">IF(AND('Material+Limits'!$Q$25=TRUE,Daten!M227=1)=TRUE,1,0)</f>
        <v>0</v>
      </c>
      <c r="G227" s="185">
        <f ca="1">IF(AND('Material+Limits'!$Q$24=TRUE,Daten!L227=1)=TRUE,1,0)</f>
        <v>0</v>
      </c>
      <c r="H227" s="185">
        <f ca="1">IF(AND('Material+Limits'!$Q$23=TRUE,Daten!K227=1)=TRUE,1,0)</f>
        <v>0</v>
      </c>
      <c r="I227" s="185">
        <f ca="1">IF(AND('Material+Limits'!$Q$22=TRUE,Daten!J227=1)=TRUE,1,0)</f>
        <v>0</v>
      </c>
      <c r="J227" s="155">
        <f ca="1">IF(Daten!$U227=13,1,0)</f>
        <v>0</v>
      </c>
      <c r="K227" s="156">
        <f ca="1">IF(Daten!$U227&lt;&gt;Daten!$V227,1,IF(Daten!$U227=14,1,0))</f>
        <v>0</v>
      </c>
      <c r="L227" s="156">
        <f ca="1">IF(Daten!$U227&lt;&gt;Daten!$V227,1,IF(Daten!$U227=16,1,0))</f>
        <v>0</v>
      </c>
      <c r="M227" s="156">
        <f ca="1">IF(Daten!$V227=17,1,0)</f>
        <v>0</v>
      </c>
      <c r="N227" s="157">
        <f ca="1">IF(Daten!$W227=Sprache!$A$60,1,0)</f>
        <v>1</v>
      </c>
      <c r="O227" s="169">
        <f>IF(AND(Daten!$AK227&lt;=KINVARO!$AW$3,Daten!$AL227&gt;=KINVARO!$AW$3)=TRUE,1,0)</f>
        <v>1</v>
      </c>
      <c r="P227" s="170">
        <f>IF(AND(Daten!$Z227&lt;=KINVARO!$AW$4,Daten!$AA227&gt;=KINVARO!$AW$4)=TRUE,1,0)</f>
        <v>1</v>
      </c>
      <c r="R227" s="170">
        <f>IF(AND(Daten!$AC227&lt;='Material+Limits'!$I$58,Daten!$AD227&gt;='Material+Limits'!$I$58)=TRUE,1,0)</f>
        <v>0</v>
      </c>
      <c r="S227" s="29">
        <f ca="1">IF(Daten!$X227=Sprache!$A$125,1,0)</f>
        <v>1</v>
      </c>
      <c r="T227" s="28" t="str">
        <f ca="1">Sprache!$A$57</f>
        <v>Podnośnik T-70</v>
      </c>
      <c r="U227" s="32">
        <f ca="1">Sprache!$A$64</f>
        <v>0</v>
      </c>
      <c r="V227" s="29">
        <f ca="1">Sprache!$A$64</f>
        <v>0</v>
      </c>
      <c r="W227" s="30" t="str">
        <f ca="1">Sprache!$A$60</f>
        <v>Front lity (drewno/płyta)</v>
      </c>
      <c r="X227" s="30">
        <f ca="1">Sprache!$A$126</f>
        <v>0</v>
      </c>
      <c r="Y227" s="30" t="str">
        <f ca="1">Sprache!$A$69</f>
        <v>Front</v>
      </c>
      <c r="Z227" s="30">
        <v>550</v>
      </c>
      <c r="AA227" s="28">
        <v>599</v>
      </c>
      <c r="AB227" s="30"/>
      <c r="AC227" s="31">
        <v>1.6</v>
      </c>
      <c r="AD227" s="53">
        <v>4.5999999999999996</v>
      </c>
      <c r="AE227" s="30" t="s">
        <v>804</v>
      </c>
      <c r="AF227" s="30" t="str">
        <f ca="1">Sprache!$A$101</f>
        <v>Zestaw (prawy+lewy)</v>
      </c>
      <c r="AG227" s="30" t="s">
        <v>26</v>
      </c>
      <c r="AH227" s="30" t="str">
        <f ca="1">Sprache!$A$118</f>
        <v>Sprężyna pomarańczowa</v>
      </c>
      <c r="AI227" s="30" t="s">
        <v>26</v>
      </c>
      <c r="AJ227" s="30" t="s">
        <v>26</v>
      </c>
      <c r="AK227" s="30">
        <f>'Material+Limits'!$K$9</f>
        <v>200</v>
      </c>
      <c r="AL227" s="28">
        <v>1200</v>
      </c>
      <c r="AM227" s="30"/>
      <c r="AN227" s="28"/>
      <c r="AO227"/>
      <c r="AR227"/>
      <c r="AS227"/>
      <c r="AT227"/>
      <c r="AU227"/>
      <c r="AV227"/>
    </row>
    <row r="228" spans="1:48" x14ac:dyDescent="0.25">
      <c r="A228" t="str">
        <f t="shared" ca="1" si="7"/>
        <v/>
      </c>
      <c r="B228" t="str">
        <f t="shared" ca="1" si="6"/>
        <v/>
      </c>
      <c r="C228" s="79">
        <f>IF('Material+Limits'!$P$7=TRUE,1,0)</f>
        <v>0</v>
      </c>
      <c r="D228" s="39">
        <f>IF(Daten!$O228+Daten!$P228+Daten!$R228=3,1,0)</f>
        <v>0</v>
      </c>
      <c r="E228" s="184">
        <f ca="1">IF(AND('Material+Limits'!$Q$21=TRUE,Daten!N228=1)=TRUE,1,0)</f>
        <v>0</v>
      </c>
      <c r="F228" s="185">
        <f>IF(AND('Material+Limits'!$Q$25=TRUE,Daten!M228=1)=TRUE,1,0)</f>
        <v>0</v>
      </c>
      <c r="G228" s="185">
        <f>IF(AND('Material+Limits'!$Q$24=TRUE,Daten!L228=1)=TRUE,1,0)</f>
        <v>0</v>
      </c>
      <c r="H228" s="185">
        <f>IF(AND('Material+Limits'!$Q$23=TRUE,Daten!K228=1)=TRUE,1,0)</f>
        <v>0</v>
      </c>
      <c r="I228" s="185">
        <f>IF(AND('Material+Limits'!$Q$22=TRUE,Daten!J228=1)=TRUE,1,0)</f>
        <v>0</v>
      </c>
      <c r="J228" s="158">
        <f>IF(Daten!$U228=13,1,0)</f>
        <v>1</v>
      </c>
      <c r="K228" s="159">
        <f>IF(Daten!$U228&lt;&gt;Daten!$V228,1,IF(Daten!$U228=14,1,0))</f>
        <v>0</v>
      </c>
      <c r="L228" s="159">
        <f>IF(Daten!$U228&lt;&gt;Daten!$V228,1,IF(Daten!$U228=16,1,0))</f>
        <v>0</v>
      </c>
      <c r="M228" s="159">
        <f>IF(Daten!$V228=17,1,0)</f>
        <v>0</v>
      </c>
      <c r="N228" s="160">
        <f ca="1">IF(Daten!$W228=Sprache!$A$60,1,0)</f>
        <v>0</v>
      </c>
      <c r="O228" s="171">
        <f>IF(AND(Daten!$AK228&lt;=KINVARO!$AW$3,Daten!$AL228&gt;=KINVARO!$AW$3)=TRUE,1,0)</f>
        <v>1</v>
      </c>
      <c r="P228" s="172">
        <f>IF(AND(Daten!$Z228&lt;=KINVARO!$AW$4,Daten!$AA228&gt;=KINVARO!$AW$4)=TRUE,1,0)</f>
        <v>1</v>
      </c>
      <c r="Q228" s="172"/>
      <c r="R228" s="172">
        <f>IF(AND(Daten!$AC228&lt;='Material+Limits'!$I$58,Daten!$AD228&gt;='Material+Limits'!$I$58)=TRUE,1,0)</f>
        <v>0</v>
      </c>
      <c r="S228" s="23">
        <f ca="1">IF(Daten!$X228=Sprache!$A$125,1,0)</f>
        <v>1</v>
      </c>
      <c r="T228" s="24" t="str">
        <f ca="1">Sprache!$A$57</f>
        <v>Podnośnik T-70</v>
      </c>
      <c r="U228" s="27">
        <v>13</v>
      </c>
      <c r="V228" s="23">
        <v>13</v>
      </c>
      <c r="W228" s="25">
        <f ca="1">Sprache!$A$131</f>
        <v>0</v>
      </c>
      <c r="X228" s="25">
        <f ca="1">Sprache!$A$126</f>
        <v>0</v>
      </c>
      <c r="Y228" s="25" t="str">
        <f ca="1">Sprache!$A$69</f>
        <v>Front</v>
      </c>
      <c r="Z228" s="25">
        <v>550</v>
      </c>
      <c r="AA228" s="24">
        <v>599</v>
      </c>
      <c r="AB228" s="25"/>
      <c r="AC228" s="26">
        <v>1.4</v>
      </c>
      <c r="AD228" s="54">
        <v>3.7</v>
      </c>
      <c r="AE228" s="25" t="s">
        <v>805</v>
      </c>
      <c r="AF228" s="25" t="str">
        <f ca="1">Sprache!$A$101</f>
        <v>Zestaw (prawy+lewy)</v>
      </c>
      <c r="AG228" s="25" t="s">
        <v>26</v>
      </c>
      <c r="AH228" s="25" t="str">
        <f ca="1">Sprache!$A$117</f>
        <v>Sprężyna biała</v>
      </c>
      <c r="AI228" s="25" t="s">
        <v>26</v>
      </c>
      <c r="AJ228" s="25" t="s">
        <v>26</v>
      </c>
      <c r="AK228" s="25">
        <f>'Material+Limits'!$K$9</f>
        <v>200</v>
      </c>
      <c r="AL228" s="24">
        <v>1200</v>
      </c>
      <c r="AM228" s="30"/>
      <c r="AN228" s="24"/>
      <c r="AO228"/>
      <c r="AR228"/>
      <c r="AS228"/>
      <c r="AT228"/>
      <c r="AU228"/>
      <c r="AV228"/>
    </row>
    <row r="229" spans="1:48" x14ac:dyDescent="0.25">
      <c r="A229" t="str">
        <f t="shared" ca="1" si="7"/>
        <v/>
      </c>
      <c r="B229" t="str">
        <f t="shared" ca="1" si="6"/>
        <v/>
      </c>
      <c r="C229" s="79">
        <f>IF('Material+Limits'!$P$7=TRUE,1,0)</f>
        <v>0</v>
      </c>
      <c r="D229" s="39">
        <f>IF(Daten!$O229+Daten!$P229+Daten!$R229=3,1,0)</f>
        <v>0</v>
      </c>
      <c r="E229" s="184">
        <f ca="1">IF(AND('Material+Limits'!$Q$21=TRUE,Daten!N229=1)=TRUE,1,0)</f>
        <v>0</v>
      </c>
      <c r="F229" s="185">
        <f>IF(AND('Material+Limits'!$Q$25=TRUE,Daten!M229=1)=TRUE,1,0)</f>
        <v>0</v>
      </c>
      <c r="G229" s="185">
        <f>IF(AND('Material+Limits'!$Q$24=TRUE,Daten!L229=1)=TRUE,1,0)</f>
        <v>0</v>
      </c>
      <c r="H229" s="185">
        <f>IF(AND('Material+Limits'!$Q$23=TRUE,Daten!K229=1)=TRUE,1,0)</f>
        <v>0</v>
      </c>
      <c r="I229" s="185">
        <f>IF(AND('Material+Limits'!$Q$22=TRUE,Daten!J229=1)=TRUE,1,0)</f>
        <v>0</v>
      </c>
      <c r="J229" s="155">
        <f>IF(Daten!$U229=13,1,0)</f>
        <v>1</v>
      </c>
      <c r="K229" s="156">
        <f>IF(Daten!$U229&lt;&gt;Daten!$V229,1,IF(Daten!$U229=14,1,0))</f>
        <v>0</v>
      </c>
      <c r="L229" s="156">
        <f>IF(Daten!$U229&lt;&gt;Daten!$V229,1,IF(Daten!$U229=16,1,0))</f>
        <v>0</v>
      </c>
      <c r="M229" s="156">
        <f>IF(Daten!$V229=17,1,0)</f>
        <v>0</v>
      </c>
      <c r="N229" s="157">
        <f ca="1">IF(Daten!$W229=Sprache!$A$60,1,0)</f>
        <v>0</v>
      </c>
      <c r="O229" s="169">
        <f>IF(AND(Daten!$AK229&lt;=KINVARO!$AW$3,Daten!$AL229&gt;=KINVARO!$AW$3)=TRUE,1,0)</f>
        <v>1</v>
      </c>
      <c r="P229" s="170">
        <f>IF(AND(Daten!$Z229&lt;=KINVARO!$AW$4,Daten!$AA229&gt;=KINVARO!$AW$4)=TRUE,1,0)</f>
        <v>1</v>
      </c>
      <c r="R229" s="170">
        <f>IF(AND(Daten!$AC229&lt;='Material+Limits'!$I$58,Daten!$AD229&gt;='Material+Limits'!$I$58)=TRUE,1,0)</f>
        <v>0</v>
      </c>
      <c r="S229" s="29">
        <f ca="1">IF(Daten!$X229=Sprache!$A$125,1,0)</f>
        <v>1</v>
      </c>
      <c r="T229" s="28" t="str">
        <f ca="1">Sprache!$A$57</f>
        <v>Podnośnik T-70</v>
      </c>
      <c r="U229" s="32">
        <v>13</v>
      </c>
      <c r="V229" s="29">
        <v>13</v>
      </c>
      <c r="W229" s="30">
        <f ca="1">Sprache!$A$131</f>
        <v>0</v>
      </c>
      <c r="X229" s="30">
        <f ca="1">Sprache!$A$126</f>
        <v>0</v>
      </c>
      <c r="Y229" s="30" t="str">
        <f ca="1">Sprache!$A$69</f>
        <v>Front</v>
      </c>
      <c r="Z229" s="30">
        <v>550</v>
      </c>
      <c r="AA229" s="28">
        <v>599</v>
      </c>
      <c r="AB229" s="30"/>
      <c r="AC229" s="31">
        <v>1.6</v>
      </c>
      <c r="AD229" s="53">
        <v>4.5999999999999996</v>
      </c>
      <c r="AE229" s="30" t="s">
        <v>805</v>
      </c>
      <c r="AF229" s="30" t="str">
        <f ca="1">Sprache!$A$101</f>
        <v>Zestaw (prawy+lewy)</v>
      </c>
      <c r="AG229" s="30" t="s">
        <v>26</v>
      </c>
      <c r="AH229" s="30" t="str">
        <f ca="1">Sprache!$A$118</f>
        <v>Sprężyna pomarańczowa</v>
      </c>
      <c r="AI229" s="30" t="s">
        <v>26</v>
      </c>
      <c r="AJ229" s="30" t="s">
        <v>26</v>
      </c>
      <c r="AK229" s="30">
        <f>'Material+Limits'!$K$9</f>
        <v>200</v>
      </c>
      <c r="AL229" s="28">
        <v>1200</v>
      </c>
      <c r="AM229" s="30"/>
      <c r="AN229" s="28"/>
      <c r="AO229"/>
      <c r="AR229"/>
      <c r="AS229"/>
      <c r="AT229"/>
      <c r="AU229"/>
      <c r="AV229"/>
    </row>
    <row r="230" spans="1:48" x14ac:dyDescent="0.25">
      <c r="A230" t="str">
        <f t="shared" ca="1" si="7"/>
        <v/>
      </c>
      <c r="B230" t="str">
        <f t="shared" ca="1" si="6"/>
        <v/>
      </c>
      <c r="C230" s="79">
        <f>IF('Material+Limits'!$P$7=TRUE,1,0)</f>
        <v>0</v>
      </c>
      <c r="D230" s="39">
        <f>IF(Daten!$O230+Daten!$P230+Daten!$R230=3,1,0)</f>
        <v>0</v>
      </c>
      <c r="E230" s="184">
        <f ca="1">IF(AND('Material+Limits'!$Q$21=TRUE,Daten!N230=1)=TRUE,1,0)</f>
        <v>0</v>
      </c>
      <c r="F230" s="185">
        <f>IF(AND('Material+Limits'!$Q$25=TRUE,Daten!M230=1)=TRUE,1,0)</f>
        <v>0</v>
      </c>
      <c r="G230" s="185">
        <f>IF(AND('Material+Limits'!$Q$24=TRUE,Daten!L230=1)=TRUE,1,0)</f>
        <v>0</v>
      </c>
      <c r="H230" s="185">
        <f>IF(AND('Material+Limits'!$Q$23=TRUE,Daten!K230=1)=TRUE,1,0)</f>
        <v>0</v>
      </c>
      <c r="I230" s="185">
        <f>IF(AND('Material+Limits'!$Q$22=TRUE,Daten!J230=1)=TRUE,1,0)</f>
        <v>0</v>
      </c>
      <c r="J230" s="158">
        <f>IF(Daten!$U230=13,1,0)</f>
        <v>0</v>
      </c>
      <c r="K230" s="159">
        <f>IF(Daten!$U230&lt;&gt;Daten!$V230,1,IF(Daten!$U230=14,1,0))</f>
        <v>1</v>
      </c>
      <c r="L230" s="159">
        <f>IF(Daten!$U230&lt;&gt;Daten!$V230,1,IF(Daten!$U230=16,1,0))</f>
        <v>0</v>
      </c>
      <c r="M230" s="159">
        <f>IF(Daten!$V230=17,1,0)</f>
        <v>0</v>
      </c>
      <c r="N230" s="160">
        <f ca="1">IF(Daten!$W230=Sprache!$A$60,1,0)</f>
        <v>0</v>
      </c>
      <c r="O230" s="171">
        <f>IF(AND(Daten!$AK230&lt;=KINVARO!$AW$3,Daten!$AL230&gt;=KINVARO!$AW$3)=TRUE,1,0)</f>
        <v>1</v>
      </c>
      <c r="P230" s="172">
        <f>IF(AND(Daten!$Z230&lt;=KINVARO!$AW$4,Daten!$AA230&gt;=KINVARO!$AW$4)=TRUE,1,0)</f>
        <v>1</v>
      </c>
      <c r="Q230" s="172"/>
      <c r="R230" s="172">
        <f>IF(AND(Daten!$AC230&lt;='Material+Limits'!$I$58,Daten!$AD230&gt;='Material+Limits'!$I$58)=TRUE,1,0)</f>
        <v>0</v>
      </c>
      <c r="S230" s="23">
        <f ca="1">IF(Daten!$X230=Sprache!$A$125,1,0)</f>
        <v>1</v>
      </c>
      <c r="T230" s="24" t="str">
        <f ca="1">Sprache!$A$57</f>
        <v>Podnośnik T-70</v>
      </c>
      <c r="U230" s="27">
        <v>14</v>
      </c>
      <c r="V230" s="23">
        <v>14</v>
      </c>
      <c r="W230" s="25">
        <f ca="1">Sprache!$A$131</f>
        <v>0</v>
      </c>
      <c r="X230" s="25">
        <f ca="1">Sprache!$A$126</f>
        <v>0</v>
      </c>
      <c r="Y230" s="25" t="str">
        <f ca="1">Sprache!$A$69</f>
        <v>Front</v>
      </c>
      <c r="Z230" s="25">
        <v>550</v>
      </c>
      <c r="AA230" s="24">
        <v>599</v>
      </c>
      <c r="AB230" s="25"/>
      <c r="AC230" s="26">
        <v>1.4</v>
      </c>
      <c r="AD230" s="54">
        <v>3.7</v>
      </c>
      <c r="AE230" s="25" t="s">
        <v>806</v>
      </c>
      <c r="AF230" s="25" t="str">
        <f ca="1">Sprache!$A$101</f>
        <v>Zestaw (prawy+lewy)</v>
      </c>
      <c r="AG230" s="25" t="s">
        <v>26</v>
      </c>
      <c r="AH230" s="25" t="str">
        <f ca="1">Sprache!$A$117</f>
        <v>Sprężyna biała</v>
      </c>
      <c r="AI230" s="25" t="s">
        <v>26</v>
      </c>
      <c r="AJ230" s="25" t="s">
        <v>26</v>
      </c>
      <c r="AK230" s="25">
        <f>'Material+Limits'!$K$9</f>
        <v>200</v>
      </c>
      <c r="AL230" s="24">
        <v>1200</v>
      </c>
      <c r="AM230" s="30"/>
      <c r="AN230" s="24"/>
      <c r="AO230"/>
      <c r="AR230"/>
      <c r="AS230"/>
      <c r="AT230"/>
      <c r="AU230"/>
      <c r="AV230"/>
    </row>
    <row r="231" spans="1:48" x14ac:dyDescent="0.25">
      <c r="A231" t="str">
        <f t="shared" ca="1" si="7"/>
        <v/>
      </c>
      <c r="B231" t="str">
        <f t="shared" ca="1" si="6"/>
        <v/>
      </c>
      <c r="C231" s="79">
        <f>IF('Material+Limits'!$P$7=TRUE,1,0)</f>
        <v>0</v>
      </c>
      <c r="D231" s="39">
        <f>IF(Daten!$O231+Daten!$P231+Daten!$R231=3,1,0)</f>
        <v>0</v>
      </c>
      <c r="E231" s="184">
        <f ca="1">IF(AND('Material+Limits'!$Q$21=TRUE,Daten!N231=1)=TRUE,1,0)</f>
        <v>0</v>
      </c>
      <c r="F231" s="185">
        <f>IF(AND('Material+Limits'!$Q$25=TRUE,Daten!M231=1)=TRUE,1,0)</f>
        <v>0</v>
      </c>
      <c r="G231" s="185">
        <f>IF(AND('Material+Limits'!$Q$24=TRUE,Daten!L231=1)=TRUE,1,0)</f>
        <v>0</v>
      </c>
      <c r="H231" s="185">
        <f>IF(AND('Material+Limits'!$Q$23=TRUE,Daten!K231=1)=TRUE,1,0)</f>
        <v>0</v>
      </c>
      <c r="I231" s="185">
        <f>IF(AND('Material+Limits'!$Q$22=TRUE,Daten!J231=1)=TRUE,1,0)</f>
        <v>0</v>
      </c>
      <c r="J231" s="155">
        <f>IF(Daten!$U231=13,1,0)</f>
        <v>0</v>
      </c>
      <c r="K231" s="156">
        <f>IF(Daten!$U231&lt;&gt;Daten!$V231,1,IF(Daten!$U231=14,1,0))</f>
        <v>1</v>
      </c>
      <c r="L231" s="156">
        <f>IF(Daten!$U231&lt;&gt;Daten!$V231,1,IF(Daten!$U231=16,1,0))</f>
        <v>0</v>
      </c>
      <c r="M231" s="156">
        <f>IF(Daten!$V231=17,1,0)</f>
        <v>0</v>
      </c>
      <c r="N231" s="157">
        <f ca="1">IF(Daten!$W231=Sprache!$A$60,1,0)</f>
        <v>0</v>
      </c>
      <c r="O231" s="169">
        <f>IF(AND(Daten!$AK231&lt;=KINVARO!$AW$3,Daten!$AL231&gt;=KINVARO!$AW$3)=TRUE,1,0)</f>
        <v>1</v>
      </c>
      <c r="P231" s="170">
        <f>IF(AND(Daten!$Z231&lt;=KINVARO!$AW$4,Daten!$AA231&gt;=KINVARO!$AW$4)=TRUE,1,0)</f>
        <v>1</v>
      </c>
      <c r="R231" s="170">
        <f>IF(AND(Daten!$AC231&lt;='Material+Limits'!$I$58,Daten!$AD231&gt;='Material+Limits'!$I$58)=TRUE,1,0)</f>
        <v>0</v>
      </c>
      <c r="S231" s="29">
        <f ca="1">IF(Daten!$X231=Sprache!$A$125,1,0)</f>
        <v>1</v>
      </c>
      <c r="T231" s="28" t="str">
        <f ca="1">Sprache!$A$57</f>
        <v>Podnośnik T-70</v>
      </c>
      <c r="U231" s="32">
        <v>14</v>
      </c>
      <c r="V231" s="29">
        <v>14</v>
      </c>
      <c r="W231" s="30">
        <f ca="1">Sprache!$A$131</f>
        <v>0</v>
      </c>
      <c r="X231" s="30">
        <f ca="1">Sprache!$A$126</f>
        <v>0</v>
      </c>
      <c r="Y231" s="30" t="str">
        <f ca="1">Sprache!$A$69</f>
        <v>Front</v>
      </c>
      <c r="Z231" s="30">
        <v>550</v>
      </c>
      <c r="AA231" s="28">
        <v>599</v>
      </c>
      <c r="AB231" s="30"/>
      <c r="AC231" s="31">
        <v>1.6</v>
      </c>
      <c r="AD231" s="53">
        <v>4.5999999999999996</v>
      </c>
      <c r="AE231" s="30" t="s">
        <v>806</v>
      </c>
      <c r="AF231" s="30" t="str">
        <f ca="1">Sprache!$A$101</f>
        <v>Zestaw (prawy+lewy)</v>
      </c>
      <c r="AG231" s="30" t="s">
        <v>26</v>
      </c>
      <c r="AH231" s="30" t="str">
        <f ca="1">Sprache!$A$118</f>
        <v>Sprężyna pomarańczowa</v>
      </c>
      <c r="AI231" s="30" t="s">
        <v>26</v>
      </c>
      <c r="AJ231" s="30" t="s">
        <v>26</v>
      </c>
      <c r="AK231" s="30">
        <f>'Material+Limits'!$K$9</f>
        <v>200</v>
      </c>
      <c r="AL231" s="28">
        <v>1200</v>
      </c>
      <c r="AM231" s="30"/>
      <c r="AN231" s="28"/>
      <c r="AO231"/>
      <c r="AR231"/>
      <c r="AS231"/>
      <c r="AT231"/>
      <c r="AU231"/>
      <c r="AV231"/>
    </row>
    <row r="232" spans="1:48" x14ac:dyDescent="0.25">
      <c r="A232" t="str">
        <f t="shared" ca="1" si="7"/>
        <v/>
      </c>
      <c r="B232" t="str">
        <f t="shared" ca="1" si="6"/>
        <v/>
      </c>
      <c r="C232" s="79">
        <f>IF('Material+Limits'!$P$7=TRUE,1,0)</f>
        <v>0</v>
      </c>
      <c r="D232" s="39">
        <f>IF(Daten!$O232+Daten!$P232+Daten!$R232=3,1,0)</f>
        <v>0</v>
      </c>
      <c r="E232" s="184">
        <f ca="1">IF(AND('Material+Limits'!$Q$21=TRUE,Daten!N232=1)=TRUE,1,0)</f>
        <v>0</v>
      </c>
      <c r="F232" s="185">
        <f>IF(AND('Material+Limits'!$Q$25=TRUE,Daten!M232=1)=TRUE,1,0)</f>
        <v>0</v>
      </c>
      <c r="G232" s="185">
        <f>IF(AND('Material+Limits'!$Q$24=TRUE,Daten!L232=1)=TRUE,1,0)</f>
        <v>0</v>
      </c>
      <c r="H232" s="185">
        <f>IF(AND('Material+Limits'!$Q$23=TRUE,Daten!K232=1)=TRUE,1,0)</f>
        <v>0</v>
      </c>
      <c r="I232" s="185">
        <f>IF(AND('Material+Limits'!$Q$22=TRUE,Daten!J232=1)=TRUE,1,0)</f>
        <v>0</v>
      </c>
      <c r="J232" s="158">
        <f>IF(Daten!$U232=13,1,0)</f>
        <v>0</v>
      </c>
      <c r="K232" s="159">
        <f>IF(Daten!$U232&lt;&gt;Daten!$V232,1,IF(Daten!$U232=14,1,0))</f>
        <v>0</v>
      </c>
      <c r="L232" s="159">
        <f>IF(Daten!$U232&lt;&gt;Daten!$V232,1,IF(Daten!$U232=16,1,0))</f>
        <v>1</v>
      </c>
      <c r="M232" s="159">
        <f>IF(Daten!$V232=17,1,0)</f>
        <v>0</v>
      </c>
      <c r="N232" s="160">
        <f ca="1">IF(Daten!$W232=Sprache!$A$60,1,0)</f>
        <v>0</v>
      </c>
      <c r="O232" s="171">
        <f>IF(AND(Daten!$AK232&lt;=KINVARO!$AW$3,Daten!$AL232&gt;=KINVARO!$AW$3)=TRUE,1,0)</f>
        <v>1</v>
      </c>
      <c r="P232" s="172">
        <f>IF(AND(Daten!$Z232&lt;=KINVARO!$AW$4,Daten!$AA232&gt;=KINVARO!$AW$4)=TRUE,1,0)</f>
        <v>1</v>
      </c>
      <c r="Q232" s="172"/>
      <c r="R232" s="172">
        <f>IF(AND(Daten!$AC232&lt;='Material+Limits'!$I$58,Daten!$AD232&gt;='Material+Limits'!$I$58)=TRUE,1,0)</f>
        <v>0</v>
      </c>
      <c r="S232" s="23">
        <f ca="1">IF(Daten!$X232=Sprache!$A$125,1,0)</f>
        <v>1</v>
      </c>
      <c r="T232" s="24" t="str">
        <f ca="1">Sprache!$A$57</f>
        <v>Podnośnik T-70</v>
      </c>
      <c r="U232" s="27">
        <v>16</v>
      </c>
      <c r="V232" s="23">
        <v>16</v>
      </c>
      <c r="W232" s="25">
        <f ca="1">Sprache!$A$131</f>
        <v>0</v>
      </c>
      <c r="X232" s="25">
        <f ca="1">Sprache!$A$126</f>
        <v>0</v>
      </c>
      <c r="Y232" s="25" t="str">
        <f ca="1">Sprache!$A$69</f>
        <v>Front</v>
      </c>
      <c r="Z232" s="25">
        <v>550</v>
      </c>
      <c r="AA232" s="24">
        <v>599</v>
      </c>
      <c r="AB232" s="25"/>
      <c r="AC232" s="26">
        <v>1.4</v>
      </c>
      <c r="AD232" s="54">
        <v>3.7</v>
      </c>
      <c r="AE232" s="25" t="s">
        <v>807</v>
      </c>
      <c r="AF232" s="25" t="str">
        <f ca="1">Sprache!$A$101</f>
        <v>Zestaw (prawy+lewy)</v>
      </c>
      <c r="AG232" s="25" t="s">
        <v>26</v>
      </c>
      <c r="AH232" s="25" t="str">
        <f ca="1">Sprache!$A$117</f>
        <v>Sprężyna biała</v>
      </c>
      <c r="AI232" s="25" t="s">
        <v>26</v>
      </c>
      <c r="AJ232" s="25" t="s">
        <v>26</v>
      </c>
      <c r="AK232" s="25">
        <f>'Material+Limits'!$K$9</f>
        <v>200</v>
      </c>
      <c r="AL232" s="24">
        <v>1200</v>
      </c>
      <c r="AM232" s="30"/>
      <c r="AN232" s="24"/>
      <c r="AO232"/>
      <c r="AR232"/>
      <c r="AS232"/>
      <c r="AT232"/>
      <c r="AU232"/>
      <c r="AV232"/>
    </row>
    <row r="233" spans="1:48" x14ac:dyDescent="0.25">
      <c r="A233" t="str">
        <f t="shared" ca="1" si="7"/>
        <v/>
      </c>
      <c r="B233" t="str">
        <f t="shared" ca="1" si="6"/>
        <v/>
      </c>
      <c r="C233" s="79">
        <f>IF('Material+Limits'!$P$7=TRUE,1,0)</f>
        <v>0</v>
      </c>
      <c r="D233" s="39">
        <f>IF(Daten!$O233+Daten!$P233+Daten!$R233=3,1,0)</f>
        <v>0</v>
      </c>
      <c r="E233" s="184">
        <f ca="1">IF(AND('Material+Limits'!$Q$21=TRUE,Daten!N233=1)=TRUE,1,0)</f>
        <v>0</v>
      </c>
      <c r="F233" s="185">
        <f>IF(AND('Material+Limits'!$Q$25=TRUE,Daten!M233=1)=TRUE,1,0)</f>
        <v>0</v>
      </c>
      <c r="G233" s="185">
        <f>IF(AND('Material+Limits'!$Q$24=TRUE,Daten!L233=1)=TRUE,1,0)</f>
        <v>0</v>
      </c>
      <c r="H233" s="185">
        <f>IF(AND('Material+Limits'!$Q$23=TRUE,Daten!K233=1)=TRUE,1,0)</f>
        <v>0</v>
      </c>
      <c r="I233" s="185">
        <f>IF(AND('Material+Limits'!$Q$22=TRUE,Daten!J233=1)=TRUE,1,0)</f>
        <v>0</v>
      </c>
      <c r="J233" s="155">
        <f>IF(Daten!$U233=13,1,0)</f>
        <v>0</v>
      </c>
      <c r="K233" s="156">
        <f>IF(Daten!$U233&lt;&gt;Daten!$V233,1,IF(Daten!$U233=14,1,0))</f>
        <v>0</v>
      </c>
      <c r="L233" s="156">
        <f>IF(Daten!$U233&lt;&gt;Daten!$V233,1,IF(Daten!$U233=16,1,0))</f>
        <v>1</v>
      </c>
      <c r="M233" s="156">
        <f>IF(Daten!$V233=17,1,0)</f>
        <v>0</v>
      </c>
      <c r="N233" s="157">
        <f ca="1">IF(Daten!$W233=Sprache!$A$60,1,0)</f>
        <v>0</v>
      </c>
      <c r="O233" s="169">
        <f>IF(AND(Daten!$AK233&lt;=KINVARO!$AW$3,Daten!$AL233&gt;=KINVARO!$AW$3)=TRUE,1,0)</f>
        <v>1</v>
      </c>
      <c r="P233" s="170">
        <f>IF(AND(Daten!$Z233&lt;=KINVARO!$AW$4,Daten!$AA233&gt;=KINVARO!$AW$4)=TRUE,1,0)</f>
        <v>1</v>
      </c>
      <c r="R233" s="170">
        <f>IF(AND(Daten!$AC233&lt;='Material+Limits'!$I$58,Daten!$AD233&gt;='Material+Limits'!$I$58)=TRUE,1,0)</f>
        <v>0</v>
      </c>
      <c r="S233" s="29">
        <f ca="1">IF(Daten!$X233=Sprache!$A$125,1,0)</f>
        <v>1</v>
      </c>
      <c r="T233" s="28" t="str">
        <f ca="1">Sprache!$A$57</f>
        <v>Podnośnik T-70</v>
      </c>
      <c r="U233" s="32">
        <v>16</v>
      </c>
      <c r="V233" s="29">
        <v>16</v>
      </c>
      <c r="W233" s="30">
        <f ca="1">Sprache!$A$131</f>
        <v>0</v>
      </c>
      <c r="X233" s="30">
        <f ca="1">Sprache!$A$126</f>
        <v>0</v>
      </c>
      <c r="Y233" s="30" t="str">
        <f ca="1">Sprache!$A$69</f>
        <v>Front</v>
      </c>
      <c r="Z233" s="30">
        <v>550</v>
      </c>
      <c r="AA233" s="28">
        <v>599</v>
      </c>
      <c r="AB233" s="30"/>
      <c r="AC233" s="31">
        <v>1.6</v>
      </c>
      <c r="AD233" s="53">
        <v>4.5999999999999996</v>
      </c>
      <c r="AE233" s="30" t="s">
        <v>807</v>
      </c>
      <c r="AF233" s="30" t="str">
        <f ca="1">Sprache!$A$101</f>
        <v>Zestaw (prawy+lewy)</v>
      </c>
      <c r="AG233" s="30" t="s">
        <v>26</v>
      </c>
      <c r="AH233" s="30" t="str">
        <f ca="1">Sprache!$A$118</f>
        <v>Sprężyna pomarańczowa</v>
      </c>
      <c r="AI233" s="30" t="s">
        <v>26</v>
      </c>
      <c r="AJ233" s="30" t="s">
        <v>26</v>
      </c>
      <c r="AK233" s="30">
        <f>'Material+Limits'!$K$9</f>
        <v>200</v>
      </c>
      <c r="AL233" s="28">
        <v>1200</v>
      </c>
      <c r="AM233" s="30"/>
      <c r="AN233" s="28"/>
      <c r="AO233"/>
      <c r="AR233"/>
      <c r="AS233"/>
      <c r="AT233"/>
      <c r="AU233"/>
      <c r="AV233"/>
    </row>
    <row r="234" spans="1:48" x14ac:dyDescent="0.25">
      <c r="A234" t="str">
        <f t="shared" ca="1" si="7"/>
        <v/>
      </c>
      <c r="B234" t="str">
        <f t="shared" ca="1" si="6"/>
        <v/>
      </c>
      <c r="C234" s="79">
        <f>IF('Material+Limits'!$P$7=TRUE,1,0)</f>
        <v>0</v>
      </c>
      <c r="D234" s="39">
        <f>IF(Daten!$O234+Daten!$P234+Daten!$R234=3,1,0)</f>
        <v>0</v>
      </c>
      <c r="E234" s="184">
        <f ca="1">IF(AND('Material+Limits'!$Q$21=TRUE,Daten!N234=1)=TRUE,1,0)</f>
        <v>0</v>
      </c>
      <c r="F234" s="185">
        <f>IF(AND('Material+Limits'!$Q$25=TRUE,Daten!M234=1)=TRUE,1,0)</f>
        <v>0</v>
      </c>
      <c r="G234" s="185">
        <f>IF(AND('Material+Limits'!$Q$24=TRUE,Daten!L234=1)=TRUE,1,0)</f>
        <v>0</v>
      </c>
      <c r="H234" s="185">
        <f>IF(AND('Material+Limits'!$Q$23=TRUE,Daten!K234=1)=TRUE,1,0)</f>
        <v>0</v>
      </c>
      <c r="I234" s="185">
        <f>IF(AND('Material+Limits'!$Q$22=TRUE,Daten!J234=1)=TRUE,1,0)</f>
        <v>0</v>
      </c>
      <c r="J234" s="158">
        <f>IF(Daten!$U234=13,1,0)</f>
        <v>0</v>
      </c>
      <c r="K234" s="159">
        <f>IF(Daten!$U234&lt;&gt;Daten!$V234,1,IF(Daten!$U234=14,1,0))</f>
        <v>0</v>
      </c>
      <c r="L234" s="159">
        <f>IF(Daten!$U234&lt;&gt;Daten!$V234,1,IF(Daten!$U234=16,1,0))</f>
        <v>0</v>
      </c>
      <c r="M234" s="159">
        <f>IF(Daten!$V234=17,1,0)</f>
        <v>1</v>
      </c>
      <c r="N234" s="160">
        <f ca="1">IF(Daten!$W234=Sprache!$A$60,1,0)</f>
        <v>0</v>
      </c>
      <c r="O234" s="171">
        <f>IF(AND(Daten!$AK234&lt;=KINVARO!$AW$3,Daten!$AL234&gt;=KINVARO!$AW$3)=TRUE,1,0)</f>
        <v>1</v>
      </c>
      <c r="P234" s="172">
        <f>IF(AND(Daten!$Z234&lt;=KINVARO!$AW$4,Daten!$AA234&gt;=KINVARO!$AW$4)=TRUE,1,0)</f>
        <v>1</v>
      </c>
      <c r="Q234" s="172"/>
      <c r="R234" s="172">
        <f>IF(AND(Daten!$AC234&lt;='Material+Limits'!$I$58,Daten!$AD234&gt;='Material+Limits'!$I$58)=TRUE,1,0)</f>
        <v>0</v>
      </c>
      <c r="S234" s="23">
        <f ca="1">IF(Daten!$X234=Sprache!$A$125,1,0)</f>
        <v>1</v>
      </c>
      <c r="T234" s="24" t="str">
        <f ca="1">Sprache!$A$57</f>
        <v>Podnośnik T-70</v>
      </c>
      <c r="U234" s="27">
        <v>17</v>
      </c>
      <c r="V234" s="23">
        <v>17</v>
      </c>
      <c r="W234" s="25">
        <f ca="1">Sprache!$A$131</f>
        <v>0</v>
      </c>
      <c r="X234" s="25">
        <f ca="1">Sprache!$A$126</f>
        <v>0</v>
      </c>
      <c r="Y234" s="25" t="str">
        <f ca="1">Sprache!$A$69</f>
        <v>Front</v>
      </c>
      <c r="Z234" s="25">
        <v>550</v>
      </c>
      <c r="AA234" s="24">
        <v>599</v>
      </c>
      <c r="AB234" s="25"/>
      <c r="AC234" s="26">
        <v>1.4</v>
      </c>
      <c r="AD234" s="54">
        <v>3.7</v>
      </c>
      <c r="AE234" s="25" t="s">
        <v>808</v>
      </c>
      <c r="AF234" s="25" t="str">
        <f ca="1">Sprache!$A$101</f>
        <v>Zestaw (prawy+lewy)</v>
      </c>
      <c r="AG234" s="25" t="s">
        <v>26</v>
      </c>
      <c r="AH234" s="25" t="str">
        <f ca="1">Sprache!$A$117</f>
        <v>Sprężyna biała</v>
      </c>
      <c r="AI234" s="25" t="s">
        <v>26</v>
      </c>
      <c r="AJ234" s="25" t="s">
        <v>26</v>
      </c>
      <c r="AK234" s="25">
        <f>'Material+Limits'!$K$9</f>
        <v>200</v>
      </c>
      <c r="AL234" s="24">
        <v>1200</v>
      </c>
      <c r="AM234" s="30"/>
      <c r="AN234" s="24"/>
      <c r="AO234"/>
      <c r="AR234"/>
      <c r="AS234"/>
      <c r="AT234"/>
      <c r="AU234"/>
      <c r="AV234"/>
    </row>
    <row r="235" spans="1:48" s="5" customFormat="1" x14ac:dyDescent="0.25">
      <c r="A235" t="str">
        <f t="shared" ca="1" si="7"/>
        <v/>
      </c>
      <c r="B235" t="str">
        <f t="shared" ca="1" si="6"/>
        <v/>
      </c>
      <c r="C235" s="79">
        <f>IF('Material+Limits'!$P$7=TRUE,1,0)</f>
        <v>0</v>
      </c>
      <c r="D235" s="39">
        <f>IF(Daten!$O235+Daten!$P235+Daten!$R235=3,1,0)</f>
        <v>0</v>
      </c>
      <c r="E235" s="184">
        <f ca="1">IF(AND('Material+Limits'!$Q$21=TRUE,Daten!N235=1)=TRUE,1,0)</f>
        <v>0</v>
      </c>
      <c r="F235" s="185">
        <f>IF(AND('Material+Limits'!$Q$25=TRUE,Daten!M235=1)=TRUE,1,0)</f>
        <v>0</v>
      </c>
      <c r="G235" s="185">
        <f>IF(AND('Material+Limits'!$Q$24=TRUE,Daten!L235=1)=TRUE,1,0)</f>
        <v>0</v>
      </c>
      <c r="H235" s="185">
        <f>IF(AND('Material+Limits'!$Q$23=TRUE,Daten!K235=1)=TRUE,1,0)</f>
        <v>0</v>
      </c>
      <c r="I235" s="185">
        <f>IF(AND('Material+Limits'!$Q$22=TRUE,Daten!J235=1)=TRUE,1,0)</f>
        <v>0</v>
      </c>
      <c r="J235" s="155">
        <f>IF(Daten!$U235=13,1,0)</f>
        <v>0</v>
      </c>
      <c r="K235" s="156">
        <f>IF(Daten!$U235&lt;&gt;Daten!$V235,1,IF(Daten!$U235=14,1,0))</f>
        <v>0</v>
      </c>
      <c r="L235" s="156">
        <f>IF(Daten!$U235&lt;&gt;Daten!$V235,1,IF(Daten!$U235=16,1,0))</f>
        <v>0</v>
      </c>
      <c r="M235" s="156">
        <f>IF(Daten!$V235=17,1,0)</f>
        <v>1</v>
      </c>
      <c r="N235" s="157">
        <f ca="1">IF(Daten!$W235=Sprache!$A$60,1,0)</f>
        <v>0</v>
      </c>
      <c r="O235" s="169">
        <f>IF(AND(Daten!$AK235&lt;=KINVARO!$AW$3,Daten!$AL235&gt;=KINVARO!$AW$3)=TRUE,1,0)</f>
        <v>1</v>
      </c>
      <c r="P235" s="170">
        <f>IF(AND(Daten!$Z235&lt;=KINVARO!$AW$4,Daten!$AA235&gt;=KINVARO!$AW$4)=TRUE,1,0)</f>
        <v>1</v>
      </c>
      <c r="Q235" s="170"/>
      <c r="R235" s="170">
        <f>IF(AND(Daten!$AC235&lt;='Material+Limits'!$I$58,Daten!$AD235&gt;='Material+Limits'!$I$58)=TRUE,1,0)</f>
        <v>0</v>
      </c>
      <c r="S235" s="29">
        <f ca="1">IF(Daten!$X235=Sprache!$A$125,1,0)</f>
        <v>1</v>
      </c>
      <c r="T235" s="28" t="str">
        <f ca="1">Sprache!$A$57</f>
        <v>Podnośnik T-70</v>
      </c>
      <c r="U235" s="32">
        <v>17</v>
      </c>
      <c r="V235" s="29">
        <v>17</v>
      </c>
      <c r="W235" s="30">
        <f ca="1">Sprache!$A$131</f>
        <v>0</v>
      </c>
      <c r="X235" s="30">
        <f ca="1">Sprache!$A$126</f>
        <v>0</v>
      </c>
      <c r="Y235" s="30" t="str">
        <f ca="1">Sprache!$A$69</f>
        <v>Front</v>
      </c>
      <c r="Z235" s="30">
        <v>550</v>
      </c>
      <c r="AA235" s="28">
        <v>599</v>
      </c>
      <c r="AB235" s="30"/>
      <c r="AC235" s="31">
        <v>1.6</v>
      </c>
      <c r="AD235" s="53">
        <v>4.5999999999999996</v>
      </c>
      <c r="AE235" s="30" t="s">
        <v>808</v>
      </c>
      <c r="AF235" s="30" t="str">
        <f ca="1">Sprache!$A$101</f>
        <v>Zestaw (prawy+lewy)</v>
      </c>
      <c r="AG235" s="30" t="s">
        <v>26</v>
      </c>
      <c r="AH235" s="30" t="str">
        <f ca="1">Sprache!$A$118</f>
        <v>Sprężyna pomarańczowa</v>
      </c>
      <c r="AI235" s="30" t="s">
        <v>26</v>
      </c>
      <c r="AJ235" s="30" t="s">
        <v>26</v>
      </c>
      <c r="AK235" s="30">
        <f>'Material+Limits'!$K$9</f>
        <v>200</v>
      </c>
      <c r="AL235" s="28">
        <v>1200</v>
      </c>
      <c r="AM235" s="30"/>
      <c r="AN235" s="28"/>
    </row>
    <row r="236" spans="1:48" x14ac:dyDescent="0.25">
      <c r="A236" t="str">
        <f t="shared" ca="1" si="7"/>
        <v/>
      </c>
      <c r="B236" t="str">
        <f t="shared" ca="1" si="6"/>
        <v/>
      </c>
      <c r="C236" s="79">
        <f>IF('Material+Limits'!$P$7=TRUE,1,0)</f>
        <v>0</v>
      </c>
      <c r="D236" s="39">
        <f>IF(Daten!$O236+Daten!$P236+Daten!$R236=3,1,0)</f>
        <v>0</v>
      </c>
      <c r="E236" s="184">
        <f ca="1">IF(AND('Material+Limits'!$Q$21=TRUE,Daten!N236=1)=TRUE,1,0)</f>
        <v>1</v>
      </c>
      <c r="F236" s="185">
        <f ca="1">IF(AND('Material+Limits'!$Q$25=TRUE,Daten!M236=1)=TRUE,1,0)</f>
        <v>0</v>
      </c>
      <c r="G236" s="185">
        <f ca="1">IF(AND('Material+Limits'!$Q$24=TRUE,Daten!L236=1)=TRUE,1,0)</f>
        <v>0</v>
      </c>
      <c r="H236" s="185">
        <f ca="1">IF(AND('Material+Limits'!$Q$23=TRUE,Daten!K236=1)=TRUE,1,0)</f>
        <v>0</v>
      </c>
      <c r="I236" s="185">
        <f ca="1">IF(AND('Material+Limits'!$Q$22=TRUE,Daten!J236=1)=TRUE,1,0)</f>
        <v>0</v>
      </c>
      <c r="J236" s="158">
        <f ca="1">IF(Daten!$U236=13,1,0)</f>
        <v>0</v>
      </c>
      <c r="K236" s="159">
        <f ca="1">IF(Daten!$U236&lt;&gt;Daten!$V236,1,IF(Daten!$U236=14,1,0))</f>
        <v>0</v>
      </c>
      <c r="L236" s="159">
        <f ca="1">IF(Daten!$U236&lt;&gt;Daten!$V236,1,IF(Daten!$U236=16,1,0))</f>
        <v>0</v>
      </c>
      <c r="M236" s="159">
        <f ca="1">IF(Daten!$V236=17,1,0)</f>
        <v>0</v>
      </c>
      <c r="N236" s="160">
        <f ca="1">IF(Daten!$W236=Sprache!$A$60,1,0)</f>
        <v>1</v>
      </c>
      <c r="O236" s="173">
        <f>IF(AND(Daten!$AK236&lt;=KINVARO!$AW$3,Daten!$AL236&gt;=KINVARO!$AW$3)=TRUE,1,0)</f>
        <v>1</v>
      </c>
      <c r="P236" s="174">
        <f>IF(AND(Daten!$Z236&lt;=KINVARO!$AW$4,Daten!$AA236&gt;=KINVARO!$AW$4)=TRUE,1,0)</f>
        <v>0</v>
      </c>
      <c r="Q236" s="174"/>
      <c r="R236" s="174">
        <f>IF(AND(Daten!$AC236&lt;='Material+Limits'!$I$58,Daten!$AD236&gt;='Material+Limits'!$I$58)=TRUE,1,0)</f>
        <v>0</v>
      </c>
      <c r="S236" s="38">
        <f ca="1">IF(Daten!$X236=Sprache!$A$125,1,0)</f>
        <v>1</v>
      </c>
      <c r="T236" s="57" t="str">
        <f ca="1">Sprache!$A$57</f>
        <v>Podnośnik T-70</v>
      </c>
      <c r="U236" s="55">
        <f ca="1">Sprache!$A$64</f>
        <v>0</v>
      </c>
      <c r="V236" s="38">
        <f ca="1">Sprache!$A$64</f>
        <v>0</v>
      </c>
      <c r="W236" s="56" t="str">
        <f ca="1">Sprache!$A$60</f>
        <v>Front lity (drewno/płyta)</v>
      </c>
      <c r="X236" s="25">
        <f ca="1">Sprache!$A$126</f>
        <v>0</v>
      </c>
      <c r="Y236" s="56" t="str">
        <f ca="1">Sprache!$A$69</f>
        <v>Front</v>
      </c>
      <c r="Z236" s="56">
        <v>600</v>
      </c>
      <c r="AA236" s="57">
        <v>600</v>
      </c>
      <c r="AB236" s="56"/>
      <c r="AC236" s="58">
        <v>1.4</v>
      </c>
      <c r="AD236" s="59">
        <v>3.3</v>
      </c>
      <c r="AE236" s="56" t="s">
        <v>804</v>
      </c>
      <c r="AF236" s="56" t="str">
        <f ca="1">Sprache!$A$101</f>
        <v>Zestaw (prawy+lewy)</v>
      </c>
      <c r="AG236" s="56" t="s">
        <v>26</v>
      </c>
      <c r="AH236" s="56" t="str">
        <f ca="1">Sprache!$A$117</f>
        <v>Sprężyna biała</v>
      </c>
      <c r="AI236" s="25" t="s">
        <v>26</v>
      </c>
      <c r="AJ236" s="25" t="s">
        <v>26</v>
      </c>
      <c r="AK236" s="56">
        <f>'Material+Limits'!$K$9</f>
        <v>200</v>
      </c>
      <c r="AL236" s="57">
        <v>1200</v>
      </c>
      <c r="AM236" s="30"/>
      <c r="AN236" s="24"/>
      <c r="AO236"/>
      <c r="AR236"/>
      <c r="AS236"/>
      <c r="AT236"/>
      <c r="AU236"/>
      <c r="AV236"/>
    </row>
    <row r="237" spans="1:48" x14ac:dyDescent="0.25">
      <c r="A237" t="str">
        <f t="shared" ca="1" si="7"/>
        <v/>
      </c>
      <c r="B237" t="str">
        <f t="shared" ca="1" si="6"/>
        <v/>
      </c>
      <c r="C237" s="79">
        <f>IF('Material+Limits'!$P$7=TRUE,1,0)</f>
        <v>0</v>
      </c>
      <c r="D237" s="39">
        <f>IF(Daten!$O237+Daten!$P237+Daten!$R237=3,1,0)</f>
        <v>0</v>
      </c>
      <c r="E237" s="184">
        <f ca="1">IF(AND('Material+Limits'!$Q$21=TRUE,Daten!N237=1)=TRUE,1,0)</f>
        <v>1</v>
      </c>
      <c r="F237" s="185">
        <f ca="1">IF(AND('Material+Limits'!$Q$25=TRUE,Daten!M237=1)=TRUE,1,0)</f>
        <v>0</v>
      </c>
      <c r="G237" s="185">
        <f ca="1">IF(AND('Material+Limits'!$Q$24=TRUE,Daten!L237=1)=TRUE,1,0)</f>
        <v>0</v>
      </c>
      <c r="H237" s="185">
        <f ca="1">IF(AND('Material+Limits'!$Q$23=TRUE,Daten!K237=1)=TRUE,1,0)</f>
        <v>0</v>
      </c>
      <c r="I237" s="185">
        <f ca="1">IF(AND('Material+Limits'!$Q$22=TRUE,Daten!J237=1)=TRUE,1,0)</f>
        <v>0</v>
      </c>
      <c r="J237" s="155">
        <f ca="1">IF(Daten!$U237=13,1,0)</f>
        <v>0</v>
      </c>
      <c r="K237" s="156">
        <f ca="1">IF(Daten!$U237&lt;&gt;Daten!$V237,1,IF(Daten!$U237=14,1,0))</f>
        <v>0</v>
      </c>
      <c r="L237" s="156">
        <f ca="1">IF(Daten!$U237&lt;&gt;Daten!$V237,1,IF(Daten!$U237=16,1,0))</f>
        <v>0</v>
      </c>
      <c r="M237" s="156">
        <f ca="1">IF(Daten!$V237=17,1,0)</f>
        <v>0</v>
      </c>
      <c r="N237" s="157">
        <f ca="1">IF(Daten!$W237=Sprache!$A$60,1,0)</f>
        <v>1</v>
      </c>
      <c r="O237" s="169">
        <f>IF(AND(Daten!$AK237&lt;=KINVARO!$AW$3,Daten!$AL237&gt;=KINVARO!$AW$3)=TRUE,1,0)</f>
        <v>1</v>
      </c>
      <c r="P237" s="170">
        <f>IF(AND(Daten!$Z237&lt;=KINVARO!$AW$4,Daten!$AA237&gt;=KINVARO!$AW$4)=TRUE,1,0)</f>
        <v>0</v>
      </c>
      <c r="R237" s="170">
        <f>IF(AND(Daten!$AC237&lt;='Material+Limits'!$I$58,Daten!$AD237&gt;='Material+Limits'!$I$58)=TRUE,1,0)</f>
        <v>0</v>
      </c>
      <c r="S237" s="29">
        <f ca="1">IF(Daten!$X237=Sprache!$A$125,1,0)</f>
        <v>1</v>
      </c>
      <c r="T237" s="28" t="str">
        <f ca="1">Sprache!$A$57</f>
        <v>Podnośnik T-70</v>
      </c>
      <c r="U237" s="32">
        <f ca="1">Sprache!$A$64</f>
        <v>0</v>
      </c>
      <c r="V237" s="29">
        <f ca="1">Sprache!$A$64</f>
        <v>0</v>
      </c>
      <c r="W237" s="30" t="str">
        <f ca="1">Sprache!$A$60</f>
        <v>Front lity (drewno/płyta)</v>
      </c>
      <c r="X237" s="30">
        <f ca="1">Sprache!$A$126</f>
        <v>0</v>
      </c>
      <c r="Y237" s="30" t="str">
        <f ca="1">Sprache!$A$69</f>
        <v>Front</v>
      </c>
      <c r="Z237" s="30">
        <v>600</v>
      </c>
      <c r="AA237" s="28">
        <v>600</v>
      </c>
      <c r="AB237" s="30"/>
      <c r="AC237" s="31">
        <v>1.4</v>
      </c>
      <c r="AD237" s="53">
        <v>4.2</v>
      </c>
      <c r="AE237" s="30" t="s">
        <v>804</v>
      </c>
      <c r="AF237" s="30" t="str">
        <f ca="1">Sprache!$A$101</f>
        <v>Zestaw (prawy+lewy)</v>
      </c>
      <c r="AG237" s="30" t="s">
        <v>26</v>
      </c>
      <c r="AH237" s="30" t="str">
        <f ca="1">Sprache!$A$118</f>
        <v>Sprężyna pomarańczowa</v>
      </c>
      <c r="AI237" s="30" t="s">
        <v>26</v>
      </c>
      <c r="AJ237" s="30" t="s">
        <v>26</v>
      </c>
      <c r="AK237" s="30">
        <f>'Material+Limits'!$K$9</f>
        <v>200</v>
      </c>
      <c r="AL237" s="28">
        <v>1200</v>
      </c>
      <c r="AM237" s="30"/>
      <c r="AN237" s="28"/>
      <c r="AO237"/>
      <c r="AR237"/>
      <c r="AS237"/>
      <c r="AT237"/>
      <c r="AU237"/>
      <c r="AV237"/>
    </row>
    <row r="238" spans="1:48" x14ac:dyDescent="0.25">
      <c r="A238" t="str">
        <f t="shared" ca="1" si="7"/>
        <v/>
      </c>
      <c r="B238" t="str">
        <f t="shared" ca="1" si="6"/>
        <v/>
      </c>
      <c r="C238" s="79">
        <f>IF('Material+Limits'!$P$7=TRUE,1,0)</f>
        <v>0</v>
      </c>
      <c r="D238" s="39">
        <f>IF(Daten!$O238+Daten!$P238+Daten!$R238=3,1,0)</f>
        <v>0</v>
      </c>
      <c r="E238" s="184">
        <f ca="1">IF(AND('Material+Limits'!$Q$21=TRUE,Daten!N238=1)=TRUE,1,0)</f>
        <v>0</v>
      </c>
      <c r="F238" s="185">
        <f>IF(AND('Material+Limits'!$Q$25=TRUE,Daten!M238=1)=TRUE,1,0)</f>
        <v>0</v>
      </c>
      <c r="G238" s="185">
        <f>IF(AND('Material+Limits'!$Q$24=TRUE,Daten!L238=1)=TRUE,1,0)</f>
        <v>0</v>
      </c>
      <c r="H238" s="185">
        <f>IF(AND('Material+Limits'!$Q$23=TRUE,Daten!K238=1)=TRUE,1,0)</f>
        <v>0</v>
      </c>
      <c r="I238" s="185">
        <f>IF(AND('Material+Limits'!$Q$22=TRUE,Daten!J238=1)=TRUE,1,0)</f>
        <v>0</v>
      </c>
      <c r="J238" s="158">
        <f>IF(Daten!$U238=13,1,0)</f>
        <v>1</v>
      </c>
      <c r="K238" s="159">
        <f>IF(Daten!$U238&lt;&gt;Daten!$V238,1,IF(Daten!$U238=14,1,0))</f>
        <v>0</v>
      </c>
      <c r="L238" s="159">
        <f>IF(Daten!$U238&lt;&gt;Daten!$V238,1,IF(Daten!$U238=16,1,0))</f>
        <v>0</v>
      </c>
      <c r="M238" s="159">
        <f>IF(Daten!$V238=17,1,0)</f>
        <v>0</v>
      </c>
      <c r="N238" s="160">
        <f ca="1">IF(Daten!$W238=Sprache!$A$60,1,0)</f>
        <v>0</v>
      </c>
      <c r="O238" s="171">
        <f>IF(AND(Daten!$AK238&lt;=KINVARO!$AW$3,Daten!$AL238&gt;=KINVARO!$AW$3)=TRUE,1,0)</f>
        <v>1</v>
      </c>
      <c r="P238" s="172">
        <f>IF(AND(Daten!$Z238&lt;=KINVARO!$AW$4,Daten!$AA238&gt;=KINVARO!$AW$4)=TRUE,1,0)</f>
        <v>0</v>
      </c>
      <c r="Q238" s="172"/>
      <c r="R238" s="172">
        <f>IF(AND(Daten!$AC238&lt;='Material+Limits'!$I$58,Daten!$AD238&gt;='Material+Limits'!$I$58)=TRUE,1,0)</f>
        <v>0</v>
      </c>
      <c r="S238" s="23">
        <f ca="1">IF(Daten!$X238=Sprache!$A$125,1,0)</f>
        <v>1</v>
      </c>
      <c r="T238" s="24" t="str">
        <f ca="1">Sprache!$A$57</f>
        <v>Podnośnik T-70</v>
      </c>
      <c r="U238" s="27">
        <v>13</v>
      </c>
      <c r="V238" s="23">
        <v>13</v>
      </c>
      <c r="W238" s="25">
        <f ca="1">Sprache!$A$131</f>
        <v>0</v>
      </c>
      <c r="X238" s="25">
        <f ca="1">Sprache!$A$126</f>
        <v>0</v>
      </c>
      <c r="Y238" s="25" t="str">
        <f ca="1">Sprache!$A$69</f>
        <v>Front</v>
      </c>
      <c r="Z238" s="25">
        <v>600</v>
      </c>
      <c r="AA238" s="24">
        <v>600</v>
      </c>
      <c r="AB238" s="25"/>
      <c r="AC238" s="26">
        <v>1.4</v>
      </c>
      <c r="AD238" s="54">
        <v>3.3</v>
      </c>
      <c r="AE238" s="25" t="s">
        <v>805</v>
      </c>
      <c r="AF238" s="25" t="str">
        <f ca="1">Sprache!$A$101</f>
        <v>Zestaw (prawy+lewy)</v>
      </c>
      <c r="AG238" s="25" t="s">
        <v>26</v>
      </c>
      <c r="AH238" s="25" t="str">
        <f ca="1">Sprache!$A$117</f>
        <v>Sprężyna biała</v>
      </c>
      <c r="AI238" s="25" t="s">
        <v>26</v>
      </c>
      <c r="AJ238" s="25" t="s">
        <v>26</v>
      </c>
      <c r="AK238" s="25">
        <f>'Material+Limits'!$K$9</f>
        <v>200</v>
      </c>
      <c r="AL238" s="24">
        <v>1200</v>
      </c>
      <c r="AM238" s="30"/>
      <c r="AN238" s="24"/>
      <c r="AO238"/>
      <c r="AR238"/>
      <c r="AS238"/>
      <c r="AT238"/>
      <c r="AU238"/>
      <c r="AV238"/>
    </row>
    <row r="239" spans="1:48" x14ac:dyDescent="0.25">
      <c r="A239" t="str">
        <f t="shared" ca="1" si="7"/>
        <v/>
      </c>
      <c r="B239" t="str">
        <f t="shared" ca="1" si="6"/>
        <v/>
      </c>
      <c r="C239" s="79">
        <f>IF('Material+Limits'!$P$7=TRUE,1,0)</f>
        <v>0</v>
      </c>
      <c r="D239" s="39">
        <f>IF(Daten!$O239+Daten!$P239+Daten!$R239=3,1,0)</f>
        <v>0</v>
      </c>
      <c r="E239" s="184">
        <f ca="1">IF(AND('Material+Limits'!$Q$21=TRUE,Daten!N239=1)=TRUE,1,0)</f>
        <v>0</v>
      </c>
      <c r="F239" s="185">
        <f>IF(AND('Material+Limits'!$Q$25=TRUE,Daten!M239=1)=TRUE,1,0)</f>
        <v>0</v>
      </c>
      <c r="G239" s="185">
        <f>IF(AND('Material+Limits'!$Q$24=TRUE,Daten!L239=1)=TRUE,1,0)</f>
        <v>0</v>
      </c>
      <c r="H239" s="185">
        <f>IF(AND('Material+Limits'!$Q$23=TRUE,Daten!K239=1)=TRUE,1,0)</f>
        <v>0</v>
      </c>
      <c r="I239" s="185">
        <f>IF(AND('Material+Limits'!$Q$22=TRUE,Daten!J239=1)=TRUE,1,0)</f>
        <v>0</v>
      </c>
      <c r="J239" s="155">
        <f>IF(Daten!$U239=13,1,0)</f>
        <v>1</v>
      </c>
      <c r="K239" s="156">
        <f>IF(Daten!$U239&lt;&gt;Daten!$V239,1,IF(Daten!$U239=14,1,0))</f>
        <v>0</v>
      </c>
      <c r="L239" s="156">
        <f>IF(Daten!$U239&lt;&gt;Daten!$V239,1,IF(Daten!$U239=16,1,0))</f>
        <v>0</v>
      </c>
      <c r="M239" s="156">
        <f>IF(Daten!$V239=17,1,0)</f>
        <v>0</v>
      </c>
      <c r="N239" s="157">
        <f ca="1">IF(Daten!$W239=Sprache!$A$60,1,0)</f>
        <v>0</v>
      </c>
      <c r="O239" s="169">
        <f>IF(AND(Daten!$AK239&lt;=KINVARO!$AW$3,Daten!$AL239&gt;=KINVARO!$AW$3)=TRUE,1,0)</f>
        <v>1</v>
      </c>
      <c r="P239" s="170">
        <f>IF(AND(Daten!$Z239&lt;=KINVARO!$AW$4,Daten!$AA239&gt;=KINVARO!$AW$4)=TRUE,1,0)</f>
        <v>0</v>
      </c>
      <c r="R239" s="170">
        <f>IF(AND(Daten!$AC239&lt;='Material+Limits'!$I$58,Daten!$AD239&gt;='Material+Limits'!$I$58)=TRUE,1,0)</f>
        <v>0</v>
      </c>
      <c r="S239" s="29">
        <f ca="1">IF(Daten!$X239=Sprache!$A$125,1,0)</f>
        <v>1</v>
      </c>
      <c r="T239" s="28" t="str">
        <f ca="1">Sprache!$A$57</f>
        <v>Podnośnik T-70</v>
      </c>
      <c r="U239" s="32">
        <v>13</v>
      </c>
      <c r="V239" s="29">
        <v>13</v>
      </c>
      <c r="W239" s="30">
        <f ca="1">Sprache!$A$131</f>
        <v>0</v>
      </c>
      <c r="X239" s="30">
        <f ca="1">Sprache!$A$126</f>
        <v>0</v>
      </c>
      <c r="Y239" s="30" t="str">
        <f ca="1">Sprache!$A$69</f>
        <v>Front</v>
      </c>
      <c r="Z239" s="30">
        <v>600</v>
      </c>
      <c r="AA239" s="28">
        <v>600</v>
      </c>
      <c r="AB239" s="30"/>
      <c r="AC239" s="31">
        <v>1.4</v>
      </c>
      <c r="AD239" s="53">
        <v>4.2</v>
      </c>
      <c r="AE239" s="30" t="s">
        <v>805</v>
      </c>
      <c r="AF239" s="30" t="str">
        <f ca="1">Sprache!$A$101</f>
        <v>Zestaw (prawy+lewy)</v>
      </c>
      <c r="AG239" s="30" t="s">
        <v>26</v>
      </c>
      <c r="AH239" s="30" t="str">
        <f ca="1">Sprache!$A$118</f>
        <v>Sprężyna pomarańczowa</v>
      </c>
      <c r="AI239" s="30" t="s">
        <v>26</v>
      </c>
      <c r="AJ239" s="30" t="s">
        <v>26</v>
      </c>
      <c r="AK239" s="30">
        <f>'Material+Limits'!$K$9</f>
        <v>200</v>
      </c>
      <c r="AL239" s="28">
        <v>1200</v>
      </c>
      <c r="AM239" s="30"/>
      <c r="AN239" s="28"/>
      <c r="AO239"/>
      <c r="AR239"/>
      <c r="AS239"/>
      <c r="AT239"/>
      <c r="AU239"/>
      <c r="AV239"/>
    </row>
    <row r="240" spans="1:48" x14ac:dyDescent="0.25">
      <c r="A240" t="str">
        <f t="shared" ca="1" si="7"/>
        <v/>
      </c>
      <c r="B240" t="str">
        <f t="shared" ca="1" si="6"/>
        <v/>
      </c>
      <c r="C240" s="79">
        <f>IF('Material+Limits'!$P$7=TRUE,1,0)</f>
        <v>0</v>
      </c>
      <c r="D240" s="39">
        <f>IF(Daten!$O240+Daten!$P240+Daten!$R240=3,1,0)</f>
        <v>0</v>
      </c>
      <c r="E240" s="184">
        <f ca="1">IF(AND('Material+Limits'!$Q$21=TRUE,Daten!N240=1)=TRUE,1,0)</f>
        <v>0</v>
      </c>
      <c r="F240" s="185">
        <f>IF(AND('Material+Limits'!$Q$25=TRUE,Daten!M240=1)=TRUE,1,0)</f>
        <v>0</v>
      </c>
      <c r="G240" s="185">
        <f>IF(AND('Material+Limits'!$Q$24=TRUE,Daten!L240=1)=TRUE,1,0)</f>
        <v>0</v>
      </c>
      <c r="H240" s="185">
        <f>IF(AND('Material+Limits'!$Q$23=TRUE,Daten!K240=1)=TRUE,1,0)</f>
        <v>0</v>
      </c>
      <c r="I240" s="185">
        <f>IF(AND('Material+Limits'!$Q$22=TRUE,Daten!J240=1)=TRUE,1,0)</f>
        <v>0</v>
      </c>
      <c r="J240" s="158">
        <f>IF(Daten!$U240=13,1,0)</f>
        <v>0</v>
      </c>
      <c r="K240" s="159">
        <f>IF(Daten!$U240&lt;&gt;Daten!$V240,1,IF(Daten!$U240=14,1,0))</f>
        <v>1</v>
      </c>
      <c r="L240" s="159">
        <f>IF(Daten!$U240&lt;&gt;Daten!$V240,1,IF(Daten!$U240=16,1,0))</f>
        <v>0</v>
      </c>
      <c r="M240" s="159">
        <f>IF(Daten!$V240=17,1,0)</f>
        <v>0</v>
      </c>
      <c r="N240" s="160">
        <f ca="1">IF(Daten!$W240=Sprache!$A$60,1,0)</f>
        <v>0</v>
      </c>
      <c r="O240" s="171">
        <f>IF(AND(Daten!$AK240&lt;=KINVARO!$AW$3,Daten!$AL240&gt;=KINVARO!$AW$3)=TRUE,1,0)</f>
        <v>1</v>
      </c>
      <c r="P240" s="172">
        <f>IF(AND(Daten!$Z240&lt;=KINVARO!$AW$4,Daten!$AA240&gt;=KINVARO!$AW$4)=TRUE,1,0)</f>
        <v>0</v>
      </c>
      <c r="Q240" s="172"/>
      <c r="R240" s="172">
        <f>IF(AND(Daten!$AC240&lt;='Material+Limits'!$I$58,Daten!$AD240&gt;='Material+Limits'!$I$58)=TRUE,1,0)</f>
        <v>0</v>
      </c>
      <c r="S240" s="23">
        <f ca="1">IF(Daten!$X240=Sprache!$A$125,1,0)</f>
        <v>1</v>
      </c>
      <c r="T240" s="24" t="str">
        <f ca="1">Sprache!$A$57</f>
        <v>Podnośnik T-70</v>
      </c>
      <c r="U240" s="27">
        <v>14</v>
      </c>
      <c r="V240" s="23">
        <v>14</v>
      </c>
      <c r="W240" s="25">
        <f ca="1">Sprache!$A$131</f>
        <v>0</v>
      </c>
      <c r="X240" s="25">
        <f ca="1">Sprache!$A$126</f>
        <v>0</v>
      </c>
      <c r="Y240" s="25" t="str">
        <f ca="1">Sprache!$A$69</f>
        <v>Front</v>
      </c>
      <c r="Z240" s="25">
        <v>600</v>
      </c>
      <c r="AA240" s="24">
        <v>600</v>
      </c>
      <c r="AB240" s="25"/>
      <c r="AC240" s="26">
        <v>1.4</v>
      </c>
      <c r="AD240" s="54">
        <v>3.3</v>
      </c>
      <c r="AE240" s="25" t="s">
        <v>806</v>
      </c>
      <c r="AF240" s="25" t="str">
        <f ca="1">Sprache!$A$101</f>
        <v>Zestaw (prawy+lewy)</v>
      </c>
      <c r="AG240" s="25" t="s">
        <v>26</v>
      </c>
      <c r="AH240" s="25" t="str">
        <f ca="1">Sprache!$A$117</f>
        <v>Sprężyna biała</v>
      </c>
      <c r="AI240" s="25" t="s">
        <v>26</v>
      </c>
      <c r="AJ240" s="25" t="s">
        <v>26</v>
      </c>
      <c r="AK240" s="25">
        <f>'Material+Limits'!$K$9</f>
        <v>200</v>
      </c>
      <c r="AL240" s="24">
        <v>1200</v>
      </c>
      <c r="AM240" s="30"/>
      <c r="AN240" s="24"/>
      <c r="AO240"/>
      <c r="AR240"/>
      <c r="AS240"/>
      <c r="AT240"/>
      <c r="AU240"/>
      <c r="AV240"/>
    </row>
    <row r="241" spans="1:48" x14ac:dyDescent="0.25">
      <c r="A241" t="str">
        <f t="shared" ca="1" si="7"/>
        <v/>
      </c>
      <c r="B241" t="str">
        <f t="shared" ca="1" si="6"/>
        <v/>
      </c>
      <c r="C241" s="79">
        <f>IF('Material+Limits'!$P$7=TRUE,1,0)</f>
        <v>0</v>
      </c>
      <c r="D241" s="39">
        <f>IF(Daten!$O241+Daten!$P241+Daten!$R241=3,1,0)</f>
        <v>0</v>
      </c>
      <c r="E241" s="184">
        <f ca="1">IF(AND('Material+Limits'!$Q$21=TRUE,Daten!N241=1)=TRUE,1,0)</f>
        <v>0</v>
      </c>
      <c r="F241" s="185">
        <f>IF(AND('Material+Limits'!$Q$25=TRUE,Daten!M241=1)=TRUE,1,0)</f>
        <v>0</v>
      </c>
      <c r="G241" s="185">
        <f>IF(AND('Material+Limits'!$Q$24=TRUE,Daten!L241=1)=TRUE,1,0)</f>
        <v>0</v>
      </c>
      <c r="H241" s="185">
        <f>IF(AND('Material+Limits'!$Q$23=TRUE,Daten!K241=1)=TRUE,1,0)</f>
        <v>0</v>
      </c>
      <c r="I241" s="185">
        <f>IF(AND('Material+Limits'!$Q$22=TRUE,Daten!J241=1)=TRUE,1,0)</f>
        <v>0</v>
      </c>
      <c r="J241" s="155">
        <f>IF(Daten!$U241=13,1,0)</f>
        <v>0</v>
      </c>
      <c r="K241" s="156">
        <f>IF(Daten!$U241&lt;&gt;Daten!$V241,1,IF(Daten!$U241=14,1,0))</f>
        <v>1</v>
      </c>
      <c r="L241" s="156">
        <f>IF(Daten!$U241&lt;&gt;Daten!$V241,1,IF(Daten!$U241=16,1,0))</f>
        <v>0</v>
      </c>
      <c r="M241" s="156">
        <f>IF(Daten!$V241=17,1,0)</f>
        <v>0</v>
      </c>
      <c r="N241" s="157">
        <f ca="1">IF(Daten!$W241=Sprache!$A$60,1,0)</f>
        <v>0</v>
      </c>
      <c r="O241" s="169">
        <f>IF(AND(Daten!$AK241&lt;=KINVARO!$AW$3,Daten!$AL241&gt;=KINVARO!$AW$3)=TRUE,1,0)</f>
        <v>1</v>
      </c>
      <c r="P241" s="170">
        <f>IF(AND(Daten!$Z241&lt;=KINVARO!$AW$4,Daten!$AA241&gt;=KINVARO!$AW$4)=TRUE,1,0)</f>
        <v>0</v>
      </c>
      <c r="R241" s="170">
        <f>IF(AND(Daten!$AC241&lt;='Material+Limits'!$I$58,Daten!$AD241&gt;='Material+Limits'!$I$58)=TRUE,1,0)</f>
        <v>0</v>
      </c>
      <c r="S241" s="29">
        <f ca="1">IF(Daten!$X241=Sprache!$A$125,1,0)</f>
        <v>1</v>
      </c>
      <c r="T241" s="28" t="str">
        <f ca="1">Sprache!$A$57</f>
        <v>Podnośnik T-70</v>
      </c>
      <c r="U241" s="32">
        <v>14</v>
      </c>
      <c r="V241" s="29">
        <v>14</v>
      </c>
      <c r="W241" s="30">
        <f ca="1">Sprache!$A$131</f>
        <v>0</v>
      </c>
      <c r="X241" s="30">
        <f ca="1">Sprache!$A$126</f>
        <v>0</v>
      </c>
      <c r="Y241" s="30" t="str">
        <f ca="1">Sprache!$A$69</f>
        <v>Front</v>
      </c>
      <c r="Z241" s="30">
        <v>600</v>
      </c>
      <c r="AA241" s="28">
        <v>600</v>
      </c>
      <c r="AB241" s="30"/>
      <c r="AC241" s="31">
        <v>1.4</v>
      </c>
      <c r="AD241" s="53">
        <v>4.2</v>
      </c>
      <c r="AE241" s="30" t="s">
        <v>806</v>
      </c>
      <c r="AF241" s="30" t="str">
        <f ca="1">Sprache!$A$101</f>
        <v>Zestaw (prawy+lewy)</v>
      </c>
      <c r="AG241" s="30" t="s">
        <v>26</v>
      </c>
      <c r="AH241" s="30" t="str">
        <f ca="1">Sprache!$A$118</f>
        <v>Sprężyna pomarańczowa</v>
      </c>
      <c r="AI241" s="30" t="s">
        <v>26</v>
      </c>
      <c r="AJ241" s="30" t="s">
        <v>26</v>
      </c>
      <c r="AK241" s="30">
        <f>'Material+Limits'!$K$9</f>
        <v>200</v>
      </c>
      <c r="AL241" s="28">
        <v>1200</v>
      </c>
      <c r="AM241" s="30"/>
      <c r="AN241" s="28"/>
      <c r="AO241"/>
      <c r="AR241"/>
      <c r="AS241"/>
      <c r="AT241"/>
      <c r="AU241"/>
      <c r="AV241"/>
    </row>
    <row r="242" spans="1:48" x14ac:dyDescent="0.25">
      <c r="A242" t="str">
        <f t="shared" ca="1" si="7"/>
        <v/>
      </c>
      <c r="B242" t="str">
        <f t="shared" ca="1" si="6"/>
        <v/>
      </c>
      <c r="C242" s="79">
        <f>IF('Material+Limits'!$P$7=TRUE,1,0)</f>
        <v>0</v>
      </c>
      <c r="D242" s="39">
        <f>IF(Daten!$O242+Daten!$P242+Daten!$R242=3,1,0)</f>
        <v>0</v>
      </c>
      <c r="E242" s="184">
        <f ca="1">IF(AND('Material+Limits'!$Q$21=TRUE,Daten!N242=1)=TRUE,1,0)</f>
        <v>0</v>
      </c>
      <c r="F242" s="185">
        <f>IF(AND('Material+Limits'!$Q$25=TRUE,Daten!M242=1)=TRUE,1,0)</f>
        <v>0</v>
      </c>
      <c r="G242" s="185">
        <f>IF(AND('Material+Limits'!$Q$24=TRUE,Daten!L242=1)=TRUE,1,0)</f>
        <v>0</v>
      </c>
      <c r="H242" s="185">
        <f>IF(AND('Material+Limits'!$Q$23=TRUE,Daten!K242=1)=TRUE,1,0)</f>
        <v>0</v>
      </c>
      <c r="I242" s="185">
        <f>IF(AND('Material+Limits'!$Q$22=TRUE,Daten!J242=1)=TRUE,1,0)</f>
        <v>0</v>
      </c>
      <c r="J242" s="158">
        <f>IF(Daten!$U242=13,1,0)</f>
        <v>0</v>
      </c>
      <c r="K242" s="159">
        <f>IF(Daten!$U242&lt;&gt;Daten!$V242,1,IF(Daten!$U242=14,1,0))</f>
        <v>0</v>
      </c>
      <c r="L242" s="159">
        <f>IF(Daten!$U242&lt;&gt;Daten!$V242,1,IF(Daten!$U242=16,1,0))</f>
        <v>1</v>
      </c>
      <c r="M242" s="159">
        <f>IF(Daten!$V242=17,1,0)</f>
        <v>0</v>
      </c>
      <c r="N242" s="160">
        <f ca="1">IF(Daten!$W242=Sprache!$A$60,1,0)</f>
        <v>0</v>
      </c>
      <c r="O242" s="171">
        <f>IF(AND(Daten!$AK242&lt;=KINVARO!$AW$3,Daten!$AL242&gt;=KINVARO!$AW$3)=TRUE,1,0)</f>
        <v>1</v>
      </c>
      <c r="P242" s="172">
        <f>IF(AND(Daten!$Z242&lt;=KINVARO!$AW$4,Daten!$AA242&gt;=KINVARO!$AW$4)=TRUE,1,0)</f>
        <v>0</v>
      </c>
      <c r="Q242" s="172"/>
      <c r="R242" s="172">
        <f>IF(AND(Daten!$AC242&lt;='Material+Limits'!$I$58,Daten!$AD242&gt;='Material+Limits'!$I$58)=TRUE,1,0)</f>
        <v>0</v>
      </c>
      <c r="S242" s="23">
        <f ca="1">IF(Daten!$X242=Sprache!$A$125,1,0)</f>
        <v>1</v>
      </c>
      <c r="T242" s="24" t="str">
        <f ca="1">Sprache!$A$57</f>
        <v>Podnośnik T-70</v>
      </c>
      <c r="U242" s="27">
        <v>16</v>
      </c>
      <c r="V242" s="23">
        <v>16</v>
      </c>
      <c r="W242" s="25">
        <f ca="1">Sprache!$A$131</f>
        <v>0</v>
      </c>
      <c r="X242" s="25">
        <f ca="1">Sprache!$A$126</f>
        <v>0</v>
      </c>
      <c r="Y242" s="25" t="str">
        <f ca="1">Sprache!$A$69</f>
        <v>Front</v>
      </c>
      <c r="Z242" s="25">
        <v>600</v>
      </c>
      <c r="AA242" s="24">
        <v>600</v>
      </c>
      <c r="AB242" s="25"/>
      <c r="AC242" s="26">
        <v>1.4</v>
      </c>
      <c r="AD242" s="54">
        <v>3.3</v>
      </c>
      <c r="AE242" s="25" t="s">
        <v>807</v>
      </c>
      <c r="AF242" s="25" t="str">
        <f ca="1">Sprache!$A$101</f>
        <v>Zestaw (prawy+lewy)</v>
      </c>
      <c r="AG242" s="25" t="s">
        <v>26</v>
      </c>
      <c r="AH242" s="25" t="str">
        <f ca="1">Sprache!$A$117</f>
        <v>Sprężyna biała</v>
      </c>
      <c r="AI242" s="25" t="s">
        <v>26</v>
      </c>
      <c r="AJ242" s="25" t="s">
        <v>26</v>
      </c>
      <c r="AK242" s="25">
        <f>'Material+Limits'!$K$9</f>
        <v>200</v>
      </c>
      <c r="AL242" s="24">
        <v>1200</v>
      </c>
      <c r="AM242" s="30"/>
      <c r="AN242" s="24"/>
      <c r="AO242"/>
      <c r="AR242"/>
      <c r="AS242"/>
      <c r="AT242"/>
      <c r="AU242"/>
      <c r="AV242"/>
    </row>
    <row r="243" spans="1:48" x14ac:dyDescent="0.25">
      <c r="A243" t="str">
        <f t="shared" ca="1" si="7"/>
        <v/>
      </c>
      <c r="B243" t="str">
        <f t="shared" ca="1" si="6"/>
        <v/>
      </c>
      <c r="C243" s="79">
        <f>IF('Material+Limits'!$P$7=TRUE,1,0)</f>
        <v>0</v>
      </c>
      <c r="D243" s="39">
        <f>IF(Daten!$O243+Daten!$P243+Daten!$R243=3,1,0)</f>
        <v>0</v>
      </c>
      <c r="E243" s="184">
        <f ca="1">IF(AND('Material+Limits'!$Q$21=TRUE,Daten!N243=1)=TRUE,1,0)</f>
        <v>0</v>
      </c>
      <c r="F243" s="185">
        <f>IF(AND('Material+Limits'!$Q$25=TRUE,Daten!M243=1)=TRUE,1,0)</f>
        <v>0</v>
      </c>
      <c r="G243" s="185">
        <f>IF(AND('Material+Limits'!$Q$24=TRUE,Daten!L243=1)=TRUE,1,0)</f>
        <v>0</v>
      </c>
      <c r="H243" s="185">
        <f>IF(AND('Material+Limits'!$Q$23=TRUE,Daten!K243=1)=TRUE,1,0)</f>
        <v>0</v>
      </c>
      <c r="I243" s="185">
        <f>IF(AND('Material+Limits'!$Q$22=TRUE,Daten!J243=1)=TRUE,1,0)</f>
        <v>0</v>
      </c>
      <c r="J243" s="155">
        <f>IF(Daten!$U243=13,1,0)</f>
        <v>0</v>
      </c>
      <c r="K243" s="156">
        <f>IF(Daten!$U243&lt;&gt;Daten!$V243,1,IF(Daten!$U243=14,1,0))</f>
        <v>0</v>
      </c>
      <c r="L243" s="156">
        <f>IF(Daten!$U243&lt;&gt;Daten!$V243,1,IF(Daten!$U243=16,1,0))</f>
        <v>1</v>
      </c>
      <c r="M243" s="156">
        <f>IF(Daten!$V243=17,1,0)</f>
        <v>0</v>
      </c>
      <c r="N243" s="157">
        <f ca="1">IF(Daten!$W243=Sprache!$A$60,1,0)</f>
        <v>0</v>
      </c>
      <c r="O243" s="169">
        <f>IF(AND(Daten!$AK243&lt;=KINVARO!$AW$3,Daten!$AL243&gt;=KINVARO!$AW$3)=TRUE,1,0)</f>
        <v>1</v>
      </c>
      <c r="P243" s="170">
        <f>IF(AND(Daten!$Z243&lt;=KINVARO!$AW$4,Daten!$AA243&gt;=KINVARO!$AW$4)=TRUE,1,0)</f>
        <v>0</v>
      </c>
      <c r="R243" s="170">
        <f>IF(AND(Daten!$AC243&lt;='Material+Limits'!$I$58,Daten!$AD243&gt;='Material+Limits'!$I$58)=TRUE,1,0)</f>
        <v>0</v>
      </c>
      <c r="S243" s="29">
        <f ca="1">IF(Daten!$X243=Sprache!$A$125,1,0)</f>
        <v>1</v>
      </c>
      <c r="T243" s="28" t="str">
        <f ca="1">Sprache!$A$57</f>
        <v>Podnośnik T-70</v>
      </c>
      <c r="U243" s="32">
        <v>16</v>
      </c>
      <c r="V243" s="29">
        <v>16</v>
      </c>
      <c r="W243" s="30">
        <f ca="1">Sprache!$A$131</f>
        <v>0</v>
      </c>
      <c r="X243" s="30">
        <f ca="1">Sprache!$A$126</f>
        <v>0</v>
      </c>
      <c r="Y243" s="30" t="str">
        <f ca="1">Sprache!$A$69</f>
        <v>Front</v>
      </c>
      <c r="Z243" s="30">
        <v>600</v>
      </c>
      <c r="AA243" s="28">
        <v>600</v>
      </c>
      <c r="AB243" s="30"/>
      <c r="AC243" s="31">
        <v>1.4</v>
      </c>
      <c r="AD243" s="53">
        <v>4.2</v>
      </c>
      <c r="AE243" s="30" t="s">
        <v>807</v>
      </c>
      <c r="AF243" s="30" t="str">
        <f ca="1">Sprache!$A$101</f>
        <v>Zestaw (prawy+lewy)</v>
      </c>
      <c r="AG243" s="30" t="s">
        <v>26</v>
      </c>
      <c r="AH243" s="30" t="str">
        <f ca="1">Sprache!$A$118</f>
        <v>Sprężyna pomarańczowa</v>
      </c>
      <c r="AI243" s="30" t="s">
        <v>26</v>
      </c>
      <c r="AJ243" s="30" t="s">
        <v>26</v>
      </c>
      <c r="AK243" s="30">
        <f>'Material+Limits'!$K$9</f>
        <v>200</v>
      </c>
      <c r="AL243" s="28">
        <v>1200</v>
      </c>
      <c r="AM243" s="30"/>
      <c r="AN243" s="28"/>
      <c r="AO243"/>
      <c r="AR243"/>
      <c r="AS243"/>
      <c r="AT243"/>
      <c r="AU243"/>
      <c r="AV243"/>
    </row>
    <row r="244" spans="1:48" x14ac:dyDescent="0.25">
      <c r="A244" t="str">
        <f t="shared" ca="1" si="7"/>
        <v/>
      </c>
      <c r="B244" t="str">
        <f t="shared" ca="1" si="6"/>
        <v/>
      </c>
      <c r="C244" s="79">
        <f>IF('Material+Limits'!$P$7=TRUE,1,0)</f>
        <v>0</v>
      </c>
      <c r="D244" s="39">
        <f>IF(Daten!$O244+Daten!$P244+Daten!$R244=3,1,0)</f>
        <v>0</v>
      </c>
      <c r="E244" s="184">
        <f ca="1">IF(AND('Material+Limits'!$Q$21=TRUE,Daten!N244=1)=TRUE,1,0)</f>
        <v>0</v>
      </c>
      <c r="F244" s="185">
        <f>IF(AND('Material+Limits'!$Q$25=TRUE,Daten!M244=1)=TRUE,1,0)</f>
        <v>0</v>
      </c>
      <c r="G244" s="185">
        <f>IF(AND('Material+Limits'!$Q$24=TRUE,Daten!L244=1)=TRUE,1,0)</f>
        <v>0</v>
      </c>
      <c r="H244" s="185">
        <f>IF(AND('Material+Limits'!$Q$23=TRUE,Daten!K244=1)=TRUE,1,0)</f>
        <v>0</v>
      </c>
      <c r="I244" s="185">
        <f>IF(AND('Material+Limits'!$Q$22=TRUE,Daten!J244=1)=TRUE,1,0)</f>
        <v>0</v>
      </c>
      <c r="J244" s="158">
        <f>IF(Daten!$U244=13,1,0)</f>
        <v>0</v>
      </c>
      <c r="K244" s="159">
        <f>IF(Daten!$U244&lt;&gt;Daten!$V244,1,IF(Daten!$U244=14,1,0))</f>
        <v>0</v>
      </c>
      <c r="L244" s="159">
        <f>IF(Daten!$U244&lt;&gt;Daten!$V244,1,IF(Daten!$U244=16,1,0))</f>
        <v>0</v>
      </c>
      <c r="M244" s="159">
        <f>IF(Daten!$V244=17,1,0)</f>
        <v>1</v>
      </c>
      <c r="N244" s="160">
        <f ca="1">IF(Daten!$W244=Sprache!$A$60,1,0)</f>
        <v>0</v>
      </c>
      <c r="O244" s="171">
        <f>IF(AND(Daten!$AK244&lt;=KINVARO!$AW$3,Daten!$AL244&gt;=KINVARO!$AW$3)=TRUE,1,0)</f>
        <v>1</v>
      </c>
      <c r="P244" s="172">
        <f>IF(AND(Daten!$Z244&lt;=KINVARO!$AW$4,Daten!$AA244&gt;=KINVARO!$AW$4)=TRUE,1,0)</f>
        <v>0</v>
      </c>
      <c r="Q244" s="172"/>
      <c r="R244" s="172">
        <f>IF(AND(Daten!$AC244&lt;='Material+Limits'!$I$58,Daten!$AD244&gt;='Material+Limits'!$I$58)=TRUE,1,0)</f>
        <v>0</v>
      </c>
      <c r="S244" s="23">
        <f ca="1">IF(Daten!$X244=Sprache!$A$125,1,0)</f>
        <v>1</v>
      </c>
      <c r="T244" s="24" t="str">
        <f ca="1">Sprache!$A$57</f>
        <v>Podnośnik T-70</v>
      </c>
      <c r="U244" s="27">
        <v>17</v>
      </c>
      <c r="V244" s="23">
        <v>17</v>
      </c>
      <c r="W244" s="25">
        <f ca="1">Sprache!$A$131</f>
        <v>0</v>
      </c>
      <c r="X244" s="25">
        <f ca="1">Sprache!$A$126</f>
        <v>0</v>
      </c>
      <c r="Y244" s="25" t="str">
        <f ca="1">Sprache!$A$69</f>
        <v>Front</v>
      </c>
      <c r="Z244" s="25">
        <v>600</v>
      </c>
      <c r="AA244" s="24">
        <v>600</v>
      </c>
      <c r="AB244" s="25"/>
      <c r="AC244" s="26">
        <v>1.4</v>
      </c>
      <c r="AD244" s="54">
        <v>3.3</v>
      </c>
      <c r="AE244" s="25" t="s">
        <v>808</v>
      </c>
      <c r="AF244" s="25" t="str">
        <f ca="1">Sprache!$A$101</f>
        <v>Zestaw (prawy+lewy)</v>
      </c>
      <c r="AG244" s="25" t="s">
        <v>26</v>
      </c>
      <c r="AH244" s="25" t="str">
        <f ca="1">Sprache!$A$117</f>
        <v>Sprężyna biała</v>
      </c>
      <c r="AI244" s="25" t="s">
        <v>26</v>
      </c>
      <c r="AJ244" s="25" t="s">
        <v>26</v>
      </c>
      <c r="AK244" s="25">
        <f>'Material+Limits'!$K$9</f>
        <v>200</v>
      </c>
      <c r="AL244" s="24">
        <v>1200</v>
      </c>
      <c r="AM244" s="30"/>
      <c r="AN244" s="24"/>
      <c r="AO244"/>
      <c r="AR244"/>
      <c r="AS244"/>
      <c r="AT244"/>
      <c r="AU244"/>
      <c r="AV244"/>
    </row>
    <row r="245" spans="1:48" s="9" customFormat="1" ht="15.75" thickBot="1" x14ac:dyDescent="0.3">
      <c r="A245" t="str">
        <f t="shared" ca="1" si="7"/>
        <v/>
      </c>
      <c r="B245" t="str">
        <f t="shared" ca="1" si="6"/>
        <v/>
      </c>
      <c r="C245" s="81">
        <f>IF('Material+Limits'!$P$7=TRUE,1,0)</f>
        <v>0</v>
      </c>
      <c r="D245" s="39">
        <f>IF(Daten!$O245+Daten!$P245+Daten!$R245=3,1,0)</f>
        <v>0</v>
      </c>
      <c r="E245" s="184">
        <f ca="1">IF(AND('Material+Limits'!$Q$21=TRUE,Daten!N245=1)=TRUE,1,0)</f>
        <v>0</v>
      </c>
      <c r="F245" s="185">
        <f>IF(AND('Material+Limits'!$Q$25=TRUE,Daten!M245=1)=TRUE,1,0)</f>
        <v>0</v>
      </c>
      <c r="G245" s="185">
        <f>IF(AND('Material+Limits'!$Q$24=TRUE,Daten!L245=1)=TRUE,1,0)</f>
        <v>0</v>
      </c>
      <c r="H245" s="185">
        <f>IF(AND('Material+Limits'!$Q$23=TRUE,Daten!K245=1)=TRUE,1,0)</f>
        <v>0</v>
      </c>
      <c r="I245" s="185">
        <f>IF(AND('Material+Limits'!$Q$22=TRUE,Daten!J245=1)=TRUE,1,0)</f>
        <v>0</v>
      </c>
      <c r="J245" s="155">
        <f>IF(Daten!$U245=13,1,0)</f>
        <v>0</v>
      </c>
      <c r="K245" s="156">
        <f>IF(Daten!$U245&lt;&gt;Daten!$V245,1,IF(Daten!$U245=14,1,0))</f>
        <v>0</v>
      </c>
      <c r="L245" s="156">
        <f>IF(Daten!$U245&lt;&gt;Daten!$V245,1,IF(Daten!$U245=16,1,0))</f>
        <v>0</v>
      </c>
      <c r="M245" s="156">
        <f>IF(Daten!$V245=17,1,0)</f>
        <v>1</v>
      </c>
      <c r="N245" s="157">
        <f ca="1">IF(Daten!$W245=Sprache!$A$60,1,0)</f>
        <v>0</v>
      </c>
      <c r="O245" s="169">
        <f>IF(AND(Daten!$AK245&lt;=KINVARO!$AW$3,Daten!$AL245&gt;=KINVARO!$AW$3)=TRUE,1,0)</f>
        <v>1</v>
      </c>
      <c r="P245" s="170">
        <f>IF(AND(Daten!$Z245&lt;=KINVARO!$AW$4,Daten!$AA245&gt;=KINVARO!$AW$4)=TRUE,1,0)</f>
        <v>0</v>
      </c>
      <c r="Q245" s="170"/>
      <c r="R245" s="170">
        <f>IF(AND(Daten!$AC245&lt;='Material+Limits'!$I$58,Daten!$AD245&gt;='Material+Limits'!$I$58)=TRUE,1,0)</f>
        <v>0</v>
      </c>
      <c r="S245" s="29">
        <f ca="1">IF(Daten!$X245=Sprache!$A$125,1,0)</f>
        <v>1</v>
      </c>
      <c r="T245" s="28" t="str">
        <f ca="1">Sprache!$A$57</f>
        <v>Podnośnik T-70</v>
      </c>
      <c r="U245" s="32">
        <v>17</v>
      </c>
      <c r="V245" s="29">
        <v>17</v>
      </c>
      <c r="W245" s="30">
        <f ca="1">Sprache!$A$131</f>
        <v>0</v>
      </c>
      <c r="X245" s="30">
        <f ca="1">Sprache!$A$126</f>
        <v>0</v>
      </c>
      <c r="Y245" s="30" t="str">
        <f ca="1">Sprache!$A$69</f>
        <v>Front</v>
      </c>
      <c r="Z245" s="30">
        <v>600</v>
      </c>
      <c r="AA245" s="28">
        <v>600</v>
      </c>
      <c r="AB245" s="30"/>
      <c r="AC245" s="31">
        <v>1.4</v>
      </c>
      <c r="AD245" s="53">
        <v>4.2</v>
      </c>
      <c r="AE245" s="30" t="s">
        <v>808</v>
      </c>
      <c r="AF245" s="30" t="str">
        <f ca="1">Sprache!$A$101</f>
        <v>Zestaw (prawy+lewy)</v>
      </c>
      <c r="AG245" s="30" t="s">
        <v>26</v>
      </c>
      <c r="AH245" s="30" t="str">
        <f ca="1">Sprache!$A$118</f>
        <v>Sprężyna pomarańczowa</v>
      </c>
      <c r="AI245" s="30" t="s">
        <v>26</v>
      </c>
      <c r="AJ245" s="30" t="s">
        <v>26</v>
      </c>
      <c r="AK245" s="30">
        <f>'Material+Limits'!$K$9</f>
        <v>200</v>
      </c>
      <c r="AL245" s="28">
        <v>1200</v>
      </c>
      <c r="AM245" s="30"/>
      <c r="AN245" s="28"/>
    </row>
    <row r="246" spans="1:48" ht="15.75" thickTop="1" x14ac:dyDescent="0.25">
      <c r="A246" t="str">
        <f t="shared" ca="1" si="7"/>
        <v/>
      </c>
      <c r="B246" t="str">
        <f t="shared" ca="1" si="6"/>
        <v/>
      </c>
      <c r="C246" s="79">
        <f>IF('Material+Limits'!$P$6=TRUE,1,0)</f>
        <v>0</v>
      </c>
      <c r="D246" s="39">
        <f>IF(Daten!$O246+Daten!$P246+Daten!$R246=3,1,0)</f>
        <v>0</v>
      </c>
      <c r="E246" s="184">
        <f ca="1">IF(AND('Material+Limits'!$Q$21=TRUE,Daten!N246=1)=TRUE,1,0)</f>
        <v>1</v>
      </c>
      <c r="F246" s="185">
        <f ca="1">IF(AND('Material+Limits'!$Q$25=TRUE,Daten!M246=1)=TRUE,1,0)</f>
        <v>0</v>
      </c>
      <c r="G246" s="185">
        <f ca="1">IF(AND('Material+Limits'!$Q$24=TRUE,Daten!L246=1)=TRUE,1,0)</f>
        <v>0</v>
      </c>
      <c r="H246" s="185">
        <f ca="1">IF(AND('Material+Limits'!$Q$23=TRUE,Daten!K246=1)=TRUE,1,0)</f>
        <v>0</v>
      </c>
      <c r="I246" s="185">
        <f ca="1">IF(AND('Material+Limits'!$Q$22=TRUE,Daten!J246=1)=TRUE,1,0)</f>
        <v>0</v>
      </c>
      <c r="J246" s="158">
        <f ca="1">IF(Daten!$U246=13,1,0)</f>
        <v>0</v>
      </c>
      <c r="K246" s="159">
        <f ca="1">IF(Daten!$U246&lt;&gt;Daten!$V246,1,IF(Daten!$U246=14,1,0))</f>
        <v>0</v>
      </c>
      <c r="L246" s="159">
        <f ca="1">IF(Daten!$U246&lt;&gt;Daten!$V246,1,IF(Daten!$U246=16,1,0))</f>
        <v>0</v>
      </c>
      <c r="M246" s="159">
        <f ca="1">IF(Daten!$V246=17,1,0)</f>
        <v>0</v>
      </c>
      <c r="N246" s="160">
        <f ca="1">IF(Daten!$W246=Sprache!$A$60,1,0)</f>
        <v>1</v>
      </c>
      <c r="O246" s="175">
        <f>IF(AND(Daten!$AK246&lt;=KINVARO!$AW$3,Daten!$AL246&gt;=KINVARO!$AW$3)=TRUE,1,0)</f>
        <v>1</v>
      </c>
      <c r="P246" s="176">
        <f>IF(AND(Daten!$Z246&lt;=KINVARO!$AW$4,Daten!$AA246&gt;=KINVARO!$AW$4)=TRUE,1,0)</f>
        <v>0</v>
      </c>
      <c r="Q246" s="176"/>
      <c r="R246" s="176">
        <f>IF(AND(Daten!$AC246&lt;='Material+Limits'!$I$58,Daten!$AD246&gt;='Material+Limits'!$I$58)=TRUE,1,0)</f>
        <v>0</v>
      </c>
      <c r="S246" s="61">
        <f ca="1">IF(Daten!$X246=Sprache!$A$125,1,0)</f>
        <v>1</v>
      </c>
      <c r="T246" s="63" t="str">
        <f ca="1">Sprache!$A$58</f>
        <v>Podnośnik T-65</v>
      </c>
      <c r="U246" s="60">
        <f ca="1">Sprache!$A$64</f>
        <v>0</v>
      </c>
      <c r="V246" s="61">
        <f ca="1">Sprache!$A$64</f>
        <v>0</v>
      </c>
      <c r="W246" s="62" t="str">
        <f ca="1">Sprache!$A$60</f>
        <v>Front lity (drewno/płyta)</v>
      </c>
      <c r="X246" s="25">
        <f ca="1">Sprache!$A$126</f>
        <v>0</v>
      </c>
      <c r="Y246" s="62" t="str">
        <f ca="1">Sprache!$A$69</f>
        <v>Front</v>
      </c>
      <c r="Z246" s="62">
        <v>250</v>
      </c>
      <c r="AA246" s="63">
        <v>299</v>
      </c>
      <c r="AB246" s="62"/>
      <c r="AC246" s="64">
        <v>0.9</v>
      </c>
      <c r="AD246" s="65">
        <v>2.1</v>
      </c>
      <c r="AE246" s="62" t="s">
        <v>809</v>
      </c>
      <c r="AF246" s="62" t="str">
        <f ca="1">Sprache!$A$101</f>
        <v>Zestaw (prawy+lewy)</v>
      </c>
      <c r="AG246" s="62" t="s">
        <v>26</v>
      </c>
      <c r="AH246" s="62" t="str">
        <f ca="1">Sprache!$A$119</f>
        <v>Sprężyna żółta jednostronnie</v>
      </c>
      <c r="AI246" s="25" t="s">
        <v>26</v>
      </c>
      <c r="AJ246" s="25" t="s">
        <v>26</v>
      </c>
      <c r="AK246" s="62">
        <f>'Material+Limits'!$K$9</f>
        <v>200</v>
      </c>
      <c r="AL246" s="24">
        <v>1200</v>
      </c>
      <c r="AM246" s="30"/>
      <c r="AN246" s="24"/>
      <c r="AO246"/>
      <c r="AR246"/>
      <c r="AS246"/>
      <c r="AT246"/>
      <c r="AU246"/>
      <c r="AV246"/>
    </row>
    <row r="247" spans="1:48" x14ac:dyDescent="0.25">
      <c r="A247" t="str">
        <f t="shared" ca="1" si="7"/>
        <v/>
      </c>
      <c r="B247" t="str">
        <f t="shared" ca="1" si="6"/>
        <v/>
      </c>
      <c r="C247" s="79">
        <f>IF('Material+Limits'!$P$6=TRUE,1,0)</f>
        <v>0</v>
      </c>
      <c r="D247" s="39">
        <f>IF(Daten!$O247+Daten!$P247+Daten!$R247=3,1,0)</f>
        <v>0</v>
      </c>
      <c r="E247" s="184">
        <f ca="1">IF(AND('Material+Limits'!$Q$21=TRUE,Daten!N247=1)=TRUE,1,0)</f>
        <v>1</v>
      </c>
      <c r="F247" s="185">
        <f ca="1">IF(AND('Material+Limits'!$Q$25=TRUE,Daten!M247=1)=TRUE,1,0)</f>
        <v>0</v>
      </c>
      <c r="G247" s="185">
        <f ca="1">IF(AND('Material+Limits'!$Q$24=TRUE,Daten!L247=1)=TRUE,1,0)</f>
        <v>0</v>
      </c>
      <c r="H247" s="185">
        <f ca="1">IF(AND('Material+Limits'!$Q$23=TRUE,Daten!K247=1)=TRUE,1,0)</f>
        <v>0</v>
      </c>
      <c r="I247" s="185">
        <f ca="1">IF(AND('Material+Limits'!$Q$22=TRUE,Daten!J247=1)=TRUE,1,0)</f>
        <v>0</v>
      </c>
      <c r="J247" s="155">
        <f ca="1">IF(Daten!$U247=13,1,0)</f>
        <v>0</v>
      </c>
      <c r="K247" s="156">
        <f ca="1">IF(Daten!$U247&lt;&gt;Daten!$V247,1,IF(Daten!$U247=14,1,0))</f>
        <v>0</v>
      </c>
      <c r="L247" s="156">
        <f ca="1">IF(Daten!$U247&lt;&gt;Daten!$V247,1,IF(Daten!$U247=16,1,0))</f>
        <v>0</v>
      </c>
      <c r="M247" s="156">
        <f ca="1">IF(Daten!$V247=17,1,0)</f>
        <v>0</v>
      </c>
      <c r="N247" s="157">
        <f ca="1">IF(Daten!$W247=Sprache!$A$60,1,0)</f>
        <v>1</v>
      </c>
      <c r="O247" s="169">
        <f>IF(AND(Daten!$AK247&lt;=KINVARO!$AW$3,Daten!$AL247&gt;=KINVARO!$AW$3)=TRUE,1,0)</f>
        <v>1</v>
      </c>
      <c r="P247" s="170">
        <f>IF(AND(Daten!$Z247&lt;=KINVARO!$AW$4,Daten!$AA247&gt;=KINVARO!$AW$4)=TRUE,1,0)</f>
        <v>0</v>
      </c>
      <c r="R247" s="170">
        <f>IF(AND(Daten!$AC247&lt;='Material+Limits'!$I$58,Daten!$AD247&gt;='Material+Limits'!$I$58)=TRUE,1,0)</f>
        <v>0</v>
      </c>
      <c r="S247" s="29">
        <f ca="1">IF(Daten!$X247=Sprache!$A$125,1,0)</f>
        <v>1</v>
      </c>
      <c r="T247" s="28" t="str">
        <f ca="1">Sprache!$A$58</f>
        <v>Podnośnik T-65</v>
      </c>
      <c r="U247" s="32">
        <f ca="1">Sprache!$A$64</f>
        <v>0</v>
      </c>
      <c r="V247" s="29">
        <f ca="1">Sprache!$A$64</f>
        <v>0</v>
      </c>
      <c r="W247" s="30" t="str">
        <f ca="1">Sprache!$A$60</f>
        <v>Front lity (drewno/płyta)</v>
      </c>
      <c r="X247" s="30">
        <f ca="1">Sprache!$A$126</f>
        <v>0</v>
      </c>
      <c r="Y247" s="30" t="str">
        <f ca="1">Sprache!$A$69</f>
        <v>Front</v>
      </c>
      <c r="Z247" s="30">
        <v>250</v>
      </c>
      <c r="AA247" s="28">
        <v>299</v>
      </c>
      <c r="AB247" s="30"/>
      <c r="AC247" s="31">
        <v>1.8</v>
      </c>
      <c r="AD247" s="53">
        <v>4.2</v>
      </c>
      <c r="AE247" s="30" t="s">
        <v>809</v>
      </c>
      <c r="AF247" s="30" t="str">
        <f ca="1">Sprache!$A$101</f>
        <v>Zestaw (prawy+lewy)</v>
      </c>
      <c r="AG247" s="30" t="s">
        <v>26</v>
      </c>
      <c r="AH247" s="30" t="str">
        <f ca="1">Sprache!$A$120</f>
        <v>Sprężyna żółta dwustronnie</v>
      </c>
      <c r="AI247" s="30" t="s">
        <v>26</v>
      </c>
      <c r="AJ247" s="30" t="s">
        <v>26</v>
      </c>
      <c r="AK247" s="30">
        <f>'Material+Limits'!$K$9</f>
        <v>200</v>
      </c>
      <c r="AL247" s="28">
        <v>1200</v>
      </c>
      <c r="AM247" s="30"/>
      <c r="AN247" s="28"/>
      <c r="AO247"/>
      <c r="AR247"/>
      <c r="AS247"/>
      <c r="AT247"/>
      <c r="AU247"/>
      <c r="AV247"/>
    </row>
    <row r="248" spans="1:48" x14ac:dyDescent="0.25">
      <c r="A248" t="str">
        <f t="shared" ca="1" si="7"/>
        <v/>
      </c>
      <c r="B248" t="str">
        <f t="shared" ca="1" si="6"/>
        <v/>
      </c>
      <c r="C248" s="79">
        <f>IF('Material+Limits'!$P$6=TRUE,1,0)</f>
        <v>0</v>
      </c>
      <c r="D248" s="39">
        <f>IF(Daten!$O248+Daten!$P248+Daten!$R248=3,1,0)</f>
        <v>0</v>
      </c>
      <c r="E248" s="184">
        <f ca="1">IF(AND('Material+Limits'!$Q$21=TRUE,Daten!N248=1)=TRUE,1,0)</f>
        <v>1</v>
      </c>
      <c r="F248" s="185">
        <f ca="1">IF(AND('Material+Limits'!$Q$25=TRUE,Daten!M248=1)=TRUE,1,0)</f>
        <v>0</v>
      </c>
      <c r="G248" s="185">
        <f ca="1">IF(AND('Material+Limits'!$Q$24=TRUE,Daten!L248=1)=TRUE,1,0)</f>
        <v>0</v>
      </c>
      <c r="H248" s="185">
        <f ca="1">IF(AND('Material+Limits'!$Q$23=TRUE,Daten!K248=1)=TRUE,1,0)</f>
        <v>0</v>
      </c>
      <c r="I248" s="185">
        <f ca="1">IF(AND('Material+Limits'!$Q$22=TRUE,Daten!J248=1)=TRUE,1,0)</f>
        <v>0</v>
      </c>
      <c r="J248" s="158">
        <f ca="1">IF(Daten!$U248=13,1,0)</f>
        <v>0</v>
      </c>
      <c r="K248" s="159">
        <f ca="1">IF(Daten!$U248&lt;&gt;Daten!$V248,1,IF(Daten!$U248=14,1,0))</f>
        <v>0</v>
      </c>
      <c r="L248" s="159">
        <f ca="1">IF(Daten!$U248&lt;&gt;Daten!$V248,1,IF(Daten!$U248=16,1,0))</f>
        <v>0</v>
      </c>
      <c r="M248" s="159">
        <f ca="1">IF(Daten!$V248=17,1,0)</f>
        <v>0</v>
      </c>
      <c r="N248" s="160">
        <f ca="1">IF(Daten!$W248=Sprache!$A$60,1,0)</f>
        <v>1</v>
      </c>
      <c r="O248" s="171">
        <f>IF(AND(Daten!$AK248&lt;=KINVARO!$AW$3,Daten!$AL248&gt;=KINVARO!$AW$3)=TRUE,1,0)</f>
        <v>1</v>
      </c>
      <c r="P248" s="172">
        <f>IF(AND(Daten!$Z248&lt;=KINVARO!$AW$4,Daten!$AA248&gt;=KINVARO!$AW$4)=TRUE,1,0)</f>
        <v>0</v>
      </c>
      <c r="Q248" s="172"/>
      <c r="R248" s="172">
        <f>IF(AND(Daten!$AC248&lt;='Material+Limits'!$I$58,Daten!$AD248&gt;='Material+Limits'!$I$58)=TRUE,1,0)</f>
        <v>1</v>
      </c>
      <c r="S248" s="23">
        <f ca="1">IF(Daten!$X248=Sprache!$A$125,1,0)</f>
        <v>1</v>
      </c>
      <c r="T248" s="24" t="str">
        <f ca="1">Sprache!$A$58</f>
        <v>Podnośnik T-65</v>
      </c>
      <c r="U248" s="27">
        <f ca="1">Sprache!$A$64</f>
        <v>0</v>
      </c>
      <c r="V248" s="23">
        <f ca="1">Sprache!$A$64</f>
        <v>0</v>
      </c>
      <c r="W248" s="25" t="str">
        <f ca="1">Sprache!$A$60</f>
        <v>Front lity (drewno/płyta)</v>
      </c>
      <c r="X248" s="25">
        <f ca="1">Sprache!$A$126</f>
        <v>0</v>
      </c>
      <c r="Y248" s="25" t="str">
        <f ca="1">Sprache!$A$69</f>
        <v>Front</v>
      </c>
      <c r="Z248" s="25">
        <v>250</v>
      </c>
      <c r="AA248" s="24">
        <v>299</v>
      </c>
      <c r="AB248" s="25"/>
      <c r="AC248" s="26">
        <v>2.4</v>
      </c>
      <c r="AD248" s="54">
        <v>7.4</v>
      </c>
      <c r="AE248" s="25" t="s">
        <v>809</v>
      </c>
      <c r="AF248" s="25" t="str">
        <f ca="1">Sprache!$A$101</f>
        <v>Zestaw (prawy+lewy)</v>
      </c>
      <c r="AG248" s="25" t="s">
        <v>26</v>
      </c>
      <c r="AH248" s="25" t="str">
        <f ca="1">Sprache!$A$121</f>
        <v>Sprężyna czarna dwustronnie</v>
      </c>
      <c r="AI248" s="25" t="s">
        <v>26</v>
      </c>
      <c r="AJ248" s="25" t="s">
        <v>26</v>
      </c>
      <c r="AK248" s="25">
        <f>'Material+Limits'!$K$9</f>
        <v>200</v>
      </c>
      <c r="AL248" s="24">
        <v>1200</v>
      </c>
      <c r="AM248" s="30"/>
      <c r="AN248" s="24"/>
      <c r="AO248"/>
      <c r="AR248"/>
      <c r="AS248"/>
      <c r="AT248"/>
      <c r="AU248"/>
      <c r="AV248"/>
    </row>
    <row r="249" spans="1:48" x14ac:dyDescent="0.25">
      <c r="A249" t="str">
        <f t="shared" ca="1" si="7"/>
        <v/>
      </c>
      <c r="B249" t="str">
        <f t="shared" ca="1" si="6"/>
        <v/>
      </c>
      <c r="C249" s="79">
        <f>IF('Material+Limits'!$P$6=TRUE,1,0)</f>
        <v>0</v>
      </c>
      <c r="D249" s="39">
        <f>IF(Daten!$O249+Daten!$P249+Daten!$R249=3,1,0)</f>
        <v>0</v>
      </c>
      <c r="E249" s="184">
        <f ca="1">IF(AND('Material+Limits'!$Q$21=TRUE,Daten!N249=1)=TRUE,1,0)</f>
        <v>0</v>
      </c>
      <c r="F249" s="185">
        <f>IF(AND('Material+Limits'!$Q$25=TRUE,Daten!M249=1)=TRUE,1,0)</f>
        <v>0</v>
      </c>
      <c r="G249" s="185">
        <f>IF(AND('Material+Limits'!$Q$24=TRUE,Daten!L249=1)=TRUE,1,0)</f>
        <v>0</v>
      </c>
      <c r="H249" s="185">
        <f>IF(AND('Material+Limits'!$Q$23=TRUE,Daten!K249=1)=TRUE,1,0)</f>
        <v>0</v>
      </c>
      <c r="I249" s="185">
        <f>IF(AND('Material+Limits'!$Q$22=TRUE,Daten!J249=1)=TRUE,1,0)</f>
        <v>0</v>
      </c>
      <c r="J249" s="155">
        <f>IF(Daten!$U249=13,1,0)</f>
        <v>1</v>
      </c>
      <c r="K249" s="156">
        <f>IF(Daten!$U249&lt;&gt;Daten!$V249,1,IF(Daten!$U249=14,1,0))</f>
        <v>0</v>
      </c>
      <c r="L249" s="156">
        <f>IF(Daten!$U249&lt;&gt;Daten!$V249,1,IF(Daten!$U249=16,1,0))</f>
        <v>0</v>
      </c>
      <c r="M249" s="156">
        <f>IF(Daten!$V249=17,1,0)</f>
        <v>0</v>
      </c>
      <c r="N249" s="157">
        <f ca="1">IF(Daten!$W249=Sprache!$A$60,1,0)</f>
        <v>0</v>
      </c>
      <c r="O249" s="169">
        <f>IF(AND(Daten!$AK249&lt;=KINVARO!$AW$3,Daten!$AL249&gt;=KINVARO!$AW$3)=TRUE,1,0)</f>
        <v>1</v>
      </c>
      <c r="P249" s="170">
        <f>IF(AND(Daten!$Z249&lt;=KINVARO!$AW$4,Daten!$AA249&gt;=KINVARO!$AW$4)=TRUE,1,0)</f>
        <v>0</v>
      </c>
      <c r="R249" s="170">
        <f>IF(AND(Daten!$AC249&lt;='Material+Limits'!$I$58,Daten!$AD249&gt;='Material+Limits'!$I$58)=TRUE,1,0)</f>
        <v>0</v>
      </c>
      <c r="S249" s="29">
        <f ca="1">IF(Daten!$X249=Sprache!$A$125,1,0)</f>
        <v>1</v>
      </c>
      <c r="T249" s="28" t="str">
        <f ca="1">Sprache!$A$58</f>
        <v>Podnośnik T-65</v>
      </c>
      <c r="U249" s="32">
        <v>13</v>
      </c>
      <c r="V249" s="29">
        <v>13</v>
      </c>
      <c r="W249" s="30">
        <f ca="1">Sprache!$A$131</f>
        <v>0</v>
      </c>
      <c r="X249" s="30">
        <f ca="1">Sprache!$A$126</f>
        <v>0</v>
      </c>
      <c r="Y249" s="30" t="str">
        <f ca="1">Sprache!$A$69</f>
        <v>Front</v>
      </c>
      <c r="Z249" s="30">
        <v>250</v>
      </c>
      <c r="AA249" s="28">
        <v>299</v>
      </c>
      <c r="AB249" s="30"/>
      <c r="AC249" s="31">
        <v>0.9</v>
      </c>
      <c r="AD249" s="53">
        <v>2.1</v>
      </c>
      <c r="AE249" s="30" t="s">
        <v>810</v>
      </c>
      <c r="AF249" s="30" t="str">
        <f ca="1">Sprache!$A$101</f>
        <v>Zestaw (prawy+lewy)</v>
      </c>
      <c r="AG249" s="30" t="s">
        <v>26</v>
      </c>
      <c r="AH249" s="30" t="str">
        <f ca="1">Sprache!$A$119</f>
        <v>Sprężyna żółta jednostronnie</v>
      </c>
      <c r="AI249" s="30" t="s">
        <v>26</v>
      </c>
      <c r="AJ249" s="30" t="s">
        <v>26</v>
      </c>
      <c r="AK249" s="30">
        <f>'Material+Limits'!$K$9</f>
        <v>200</v>
      </c>
      <c r="AL249" s="28">
        <v>1200</v>
      </c>
      <c r="AM249" s="30"/>
      <c r="AN249" s="28"/>
      <c r="AO249"/>
      <c r="AR249"/>
      <c r="AS249"/>
      <c r="AT249"/>
      <c r="AU249"/>
      <c r="AV249"/>
    </row>
    <row r="250" spans="1:48" x14ac:dyDescent="0.25">
      <c r="A250" t="str">
        <f t="shared" ca="1" si="7"/>
        <v/>
      </c>
      <c r="B250" t="str">
        <f t="shared" ca="1" si="6"/>
        <v/>
      </c>
      <c r="C250" s="79">
        <f>IF('Material+Limits'!$P$6=TRUE,1,0)</f>
        <v>0</v>
      </c>
      <c r="D250" s="39">
        <f>IF(Daten!$O250+Daten!$P250+Daten!$R250=3,1,0)</f>
        <v>0</v>
      </c>
      <c r="E250" s="184">
        <f ca="1">IF(AND('Material+Limits'!$Q$21=TRUE,Daten!N250=1)=TRUE,1,0)</f>
        <v>0</v>
      </c>
      <c r="F250" s="185">
        <f>IF(AND('Material+Limits'!$Q$25=TRUE,Daten!M250=1)=TRUE,1,0)</f>
        <v>0</v>
      </c>
      <c r="G250" s="185">
        <f>IF(AND('Material+Limits'!$Q$24=TRUE,Daten!L250=1)=TRUE,1,0)</f>
        <v>0</v>
      </c>
      <c r="H250" s="185">
        <f>IF(AND('Material+Limits'!$Q$23=TRUE,Daten!K250=1)=TRUE,1,0)</f>
        <v>0</v>
      </c>
      <c r="I250" s="185">
        <f>IF(AND('Material+Limits'!$Q$22=TRUE,Daten!J250=1)=TRUE,1,0)</f>
        <v>0</v>
      </c>
      <c r="J250" s="158">
        <f>IF(Daten!$U250=13,1,0)</f>
        <v>1</v>
      </c>
      <c r="K250" s="159">
        <f>IF(Daten!$U250&lt;&gt;Daten!$V250,1,IF(Daten!$U250=14,1,0))</f>
        <v>0</v>
      </c>
      <c r="L250" s="159">
        <f>IF(Daten!$U250&lt;&gt;Daten!$V250,1,IF(Daten!$U250=16,1,0))</f>
        <v>0</v>
      </c>
      <c r="M250" s="159">
        <f>IF(Daten!$V250=17,1,0)</f>
        <v>0</v>
      </c>
      <c r="N250" s="160">
        <f ca="1">IF(Daten!$W250=Sprache!$A$60,1,0)</f>
        <v>0</v>
      </c>
      <c r="O250" s="171">
        <f>IF(AND(Daten!$AK250&lt;=KINVARO!$AW$3,Daten!$AL250&gt;=KINVARO!$AW$3)=TRUE,1,0)</f>
        <v>1</v>
      </c>
      <c r="P250" s="172">
        <f>IF(AND(Daten!$Z250&lt;=KINVARO!$AW$4,Daten!$AA250&gt;=KINVARO!$AW$4)=TRUE,1,0)</f>
        <v>0</v>
      </c>
      <c r="Q250" s="172"/>
      <c r="R250" s="172">
        <f>IF(AND(Daten!$AC250&lt;='Material+Limits'!$I$58,Daten!$AD250&gt;='Material+Limits'!$I$58)=TRUE,1,0)</f>
        <v>0</v>
      </c>
      <c r="S250" s="23">
        <f ca="1">IF(Daten!$X250=Sprache!$A$125,1,0)</f>
        <v>1</v>
      </c>
      <c r="T250" s="24" t="str">
        <f ca="1">Sprache!$A$58</f>
        <v>Podnośnik T-65</v>
      </c>
      <c r="U250" s="27">
        <v>13</v>
      </c>
      <c r="V250" s="23">
        <v>13</v>
      </c>
      <c r="W250" s="25">
        <f ca="1">Sprache!$A$131</f>
        <v>0</v>
      </c>
      <c r="X250" s="25">
        <f ca="1">Sprache!$A$126</f>
        <v>0</v>
      </c>
      <c r="Y250" s="25" t="str">
        <f ca="1">Sprache!$A$69</f>
        <v>Front</v>
      </c>
      <c r="Z250" s="25">
        <v>250</v>
      </c>
      <c r="AA250" s="24">
        <v>299</v>
      </c>
      <c r="AB250" s="25"/>
      <c r="AC250" s="26">
        <v>1.8</v>
      </c>
      <c r="AD250" s="54">
        <v>4.2</v>
      </c>
      <c r="AE250" s="25" t="s">
        <v>810</v>
      </c>
      <c r="AF250" s="25" t="str">
        <f ca="1">Sprache!$A$101</f>
        <v>Zestaw (prawy+lewy)</v>
      </c>
      <c r="AG250" s="25" t="s">
        <v>26</v>
      </c>
      <c r="AH250" s="25" t="str">
        <f ca="1">Sprache!$A$120</f>
        <v>Sprężyna żółta dwustronnie</v>
      </c>
      <c r="AI250" s="25" t="s">
        <v>26</v>
      </c>
      <c r="AJ250" s="25" t="s">
        <v>26</v>
      </c>
      <c r="AK250" s="25">
        <f>'Material+Limits'!$K$9</f>
        <v>200</v>
      </c>
      <c r="AL250" s="24">
        <v>1200</v>
      </c>
      <c r="AM250" s="30"/>
      <c r="AN250" s="24"/>
      <c r="AO250"/>
      <c r="AR250"/>
      <c r="AS250"/>
      <c r="AT250"/>
      <c r="AU250"/>
      <c r="AV250"/>
    </row>
    <row r="251" spans="1:48" x14ac:dyDescent="0.25">
      <c r="A251" t="str">
        <f t="shared" ca="1" si="7"/>
        <v/>
      </c>
      <c r="B251" t="str">
        <f t="shared" ca="1" si="6"/>
        <v/>
      </c>
      <c r="C251" s="79">
        <f>IF('Material+Limits'!$P$6=TRUE,1,0)</f>
        <v>0</v>
      </c>
      <c r="D251" s="39">
        <f>IF(Daten!$O251+Daten!$P251+Daten!$R251=3,1,0)</f>
        <v>0</v>
      </c>
      <c r="E251" s="184">
        <f ca="1">IF(AND('Material+Limits'!$Q$21=TRUE,Daten!N251=1)=TRUE,1,0)</f>
        <v>0</v>
      </c>
      <c r="F251" s="185">
        <f>IF(AND('Material+Limits'!$Q$25=TRUE,Daten!M251=1)=TRUE,1,0)</f>
        <v>0</v>
      </c>
      <c r="G251" s="185">
        <f>IF(AND('Material+Limits'!$Q$24=TRUE,Daten!L251=1)=TRUE,1,0)</f>
        <v>0</v>
      </c>
      <c r="H251" s="185">
        <f>IF(AND('Material+Limits'!$Q$23=TRUE,Daten!K251=1)=TRUE,1,0)</f>
        <v>0</v>
      </c>
      <c r="I251" s="185">
        <f>IF(AND('Material+Limits'!$Q$22=TRUE,Daten!J251=1)=TRUE,1,0)</f>
        <v>0</v>
      </c>
      <c r="J251" s="155">
        <f>IF(Daten!$U251=13,1,0)</f>
        <v>1</v>
      </c>
      <c r="K251" s="156">
        <f>IF(Daten!$U251&lt;&gt;Daten!$V251,1,IF(Daten!$U251=14,1,0))</f>
        <v>0</v>
      </c>
      <c r="L251" s="156">
        <f>IF(Daten!$U251&lt;&gt;Daten!$V251,1,IF(Daten!$U251=16,1,0))</f>
        <v>0</v>
      </c>
      <c r="M251" s="156">
        <f>IF(Daten!$V251=17,1,0)</f>
        <v>0</v>
      </c>
      <c r="N251" s="157">
        <f ca="1">IF(Daten!$W251=Sprache!$A$60,1,0)</f>
        <v>0</v>
      </c>
      <c r="O251" s="169">
        <f>IF(AND(Daten!$AK251&lt;=KINVARO!$AW$3,Daten!$AL251&gt;=KINVARO!$AW$3)=TRUE,1,0)</f>
        <v>1</v>
      </c>
      <c r="P251" s="170">
        <f>IF(AND(Daten!$Z251&lt;=KINVARO!$AW$4,Daten!$AA251&gt;=KINVARO!$AW$4)=TRUE,1,0)</f>
        <v>0</v>
      </c>
      <c r="R251" s="170">
        <f>IF(AND(Daten!$AC251&lt;='Material+Limits'!$I$58,Daten!$AD251&gt;='Material+Limits'!$I$58)=TRUE,1,0)</f>
        <v>1</v>
      </c>
      <c r="S251" s="29">
        <f ca="1">IF(Daten!$X251=Sprache!$A$125,1,0)</f>
        <v>1</v>
      </c>
      <c r="T251" s="28" t="str">
        <f ca="1">Sprache!$A$58</f>
        <v>Podnośnik T-65</v>
      </c>
      <c r="U251" s="32">
        <v>13</v>
      </c>
      <c r="V251" s="29">
        <v>13</v>
      </c>
      <c r="W251" s="30">
        <f ca="1">Sprache!$A$131</f>
        <v>0</v>
      </c>
      <c r="X251" s="30">
        <f ca="1">Sprache!$A$126</f>
        <v>0</v>
      </c>
      <c r="Y251" s="30" t="str">
        <f ca="1">Sprache!$A$69</f>
        <v>Front</v>
      </c>
      <c r="Z251" s="30">
        <v>250</v>
      </c>
      <c r="AA251" s="28">
        <v>299</v>
      </c>
      <c r="AB251" s="30"/>
      <c r="AC251" s="31">
        <v>2.4</v>
      </c>
      <c r="AD251" s="53">
        <v>7.4</v>
      </c>
      <c r="AE251" s="30" t="s">
        <v>810</v>
      </c>
      <c r="AF251" s="30" t="str">
        <f ca="1">Sprache!$A$101</f>
        <v>Zestaw (prawy+lewy)</v>
      </c>
      <c r="AG251" s="30" t="s">
        <v>26</v>
      </c>
      <c r="AH251" s="30" t="str">
        <f ca="1">Sprache!$A$121</f>
        <v>Sprężyna czarna dwustronnie</v>
      </c>
      <c r="AI251" s="30" t="s">
        <v>26</v>
      </c>
      <c r="AJ251" s="30" t="s">
        <v>26</v>
      </c>
      <c r="AK251" s="30">
        <f>'Material+Limits'!$K$9</f>
        <v>200</v>
      </c>
      <c r="AL251" s="28">
        <v>1200</v>
      </c>
      <c r="AM251" s="30"/>
      <c r="AN251" s="28"/>
      <c r="AO251"/>
      <c r="AR251"/>
      <c r="AS251"/>
      <c r="AT251"/>
      <c r="AU251"/>
      <c r="AV251"/>
    </row>
    <row r="252" spans="1:48" x14ac:dyDescent="0.25">
      <c r="A252" t="str">
        <f t="shared" ca="1" si="7"/>
        <v/>
      </c>
      <c r="B252" t="str">
        <f t="shared" ca="1" si="6"/>
        <v/>
      </c>
      <c r="C252" s="79">
        <f>IF('Material+Limits'!$P$6=TRUE,1,0)</f>
        <v>0</v>
      </c>
      <c r="D252" s="39">
        <f>IF(Daten!$O252+Daten!$P252+Daten!$R252=3,1,0)</f>
        <v>0</v>
      </c>
      <c r="E252" s="184">
        <f ca="1">IF(AND('Material+Limits'!$Q$21=TRUE,Daten!N252=1)=TRUE,1,0)</f>
        <v>0</v>
      </c>
      <c r="F252" s="185">
        <f>IF(AND('Material+Limits'!$Q$25=TRUE,Daten!M252=1)=TRUE,1,0)</f>
        <v>0</v>
      </c>
      <c r="G252" s="185">
        <f>IF(AND('Material+Limits'!$Q$24=TRUE,Daten!L252=1)=TRUE,1,0)</f>
        <v>0</v>
      </c>
      <c r="H252" s="185">
        <f>IF(AND('Material+Limits'!$Q$23=TRUE,Daten!K252=1)=TRUE,1,0)</f>
        <v>0</v>
      </c>
      <c r="I252" s="185">
        <f>IF(AND('Material+Limits'!$Q$22=TRUE,Daten!J252=1)=TRUE,1,0)</f>
        <v>0</v>
      </c>
      <c r="J252" s="158">
        <f>IF(Daten!$U252=13,1,0)</f>
        <v>0</v>
      </c>
      <c r="K252" s="159">
        <f>IF(Daten!$U252&lt;&gt;Daten!$V252,1,IF(Daten!$U252=14,1,0))</f>
        <v>1</v>
      </c>
      <c r="L252" s="159">
        <f>IF(Daten!$U252&lt;&gt;Daten!$V252,1,IF(Daten!$U252=16,1,0))</f>
        <v>0</v>
      </c>
      <c r="M252" s="159">
        <f>IF(Daten!$V252=17,1,0)</f>
        <v>0</v>
      </c>
      <c r="N252" s="160">
        <f ca="1">IF(Daten!$W252=Sprache!$A$60,1,0)</f>
        <v>0</v>
      </c>
      <c r="O252" s="171">
        <f>IF(AND(Daten!$AK252&lt;=KINVARO!$AW$3,Daten!$AL252&gt;=KINVARO!$AW$3)=TRUE,1,0)</f>
        <v>1</v>
      </c>
      <c r="P252" s="172">
        <f>IF(AND(Daten!$Z252&lt;=KINVARO!$AW$4,Daten!$AA252&gt;=KINVARO!$AW$4)=TRUE,1,0)</f>
        <v>0</v>
      </c>
      <c r="Q252" s="172"/>
      <c r="R252" s="172">
        <f>IF(AND(Daten!$AC252&lt;='Material+Limits'!$I$58,Daten!$AD252&gt;='Material+Limits'!$I$58)=TRUE,1,0)</f>
        <v>0</v>
      </c>
      <c r="S252" s="23">
        <f ca="1">IF(Daten!$X252=Sprache!$A$125,1,0)</f>
        <v>1</v>
      </c>
      <c r="T252" s="24" t="str">
        <f ca="1">Sprache!$A$58</f>
        <v>Podnośnik T-65</v>
      </c>
      <c r="U252" s="27">
        <v>14</v>
      </c>
      <c r="V252" s="23">
        <v>14</v>
      </c>
      <c r="W252" s="25">
        <f ca="1">Sprache!$A$131</f>
        <v>0</v>
      </c>
      <c r="X252" s="25">
        <f ca="1">Sprache!$A$126</f>
        <v>0</v>
      </c>
      <c r="Y252" s="25" t="str">
        <f ca="1">Sprache!$A$69</f>
        <v>Front</v>
      </c>
      <c r="Z252" s="25">
        <v>250</v>
      </c>
      <c r="AA252" s="24">
        <v>299</v>
      </c>
      <c r="AB252" s="25"/>
      <c r="AC252" s="26">
        <v>0.9</v>
      </c>
      <c r="AD252" s="54">
        <v>2.1</v>
      </c>
      <c r="AE252" s="25" t="s">
        <v>811</v>
      </c>
      <c r="AF252" s="25" t="str">
        <f ca="1">Sprache!$A$101</f>
        <v>Zestaw (prawy+lewy)</v>
      </c>
      <c r="AG252" s="25" t="s">
        <v>26</v>
      </c>
      <c r="AH252" s="25" t="str">
        <f ca="1">Sprache!$A$119</f>
        <v>Sprężyna żółta jednostronnie</v>
      </c>
      <c r="AI252" s="25" t="s">
        <v>26</v>
      </c>
      <c r="AJ252" s="25" t="s">
        <v>26</v>
      </c>
      <c r="AK252" s="25">
        <f>'Material+Limits'!$K$9</f>
        <v>200</v>
      </c>
      <c r="AL252" s="24">
        <v>1200</v>
      </c>
      <c r="AM252" s="30"/>
      <c r="AN252" s="24"/>
      <c r="AO252"/>
      <c r="AR252"/>
      <c r="AS252"/>
      <c r="AT252"/>
      <c r="AU252"/>
      <c r="AV252"/>
    </row>
    <row r="253" spans="1:48" x14ac:dyDescent="0.25">
      <c r="A253" t="str">
        <f t="shared" ca="1" si="7"/>
        <v/>
      </c>
      <c r="B253" t="str">
        <f t="shared" ca="1" si="6"/>
        <v/>
      </c>
      <c r="C253" s="79">
        <f>IF('Material+Limits'!$P$6=TRUE,1,0)</f>
        <v>0</v>
      </c>
      <c r="D253" s="39">
        <f>IF(Daten!$O253+Daten!$P253+Daten!$R253=3,1,0)</f>
        <v>0</v>
      </c>
      <c r="E253" s="184">
        <f ca="1">IF(AND('Material+Limits'!$Q$21=TRUE,Daten!N253=1)=TRUE,1,0)</f>
        <v>0</v>
      </c>
      <c r="F253" s="185">
        <f>IF(AND('Material+Limits'!$Q$25=TRUE,Daten!M253=1)=TRUE,1,0)</f>
        <v>0</v>
      </c>
      <c r="G253" s="185">
        <f>IF(AND('Material+Limits'!$Q$24=TRUE,Daten!L253=1)=TRUE,1,0)</f>
        <v>0</v>
      </c>
      <c r="H253" s="185">
        <f>IF(AND('Material+Limits'!$Q$23=TRUE,Daten!K253=1)=TRUE,1,0)</f>
        <v>0</v>
      </c>
      <c r="I253" s="185">
        <f>IF(AND('Material+Limits'!$Q$22=TRUE,Daten!J253=1)=TRUE,1,0)</f>
        <v>0</v>
      </c>
      <c r="J253" s="155">
        <f>IF(Daten!$U253=13,1,0)</f>
        <v>0</v>
      </c>
      <c r="K253" s="156">
        <f>IF(Daten!$U253&lt;&gt;Daten!$V253,1,IF(Daten!$U253=14,1,0))</f>
        <v>1</v>
      </c>
      <c r="L253" s="156">
        <f>IF(Daten!$U253&lt;&gt;Daten!$V253,1,IF(Daten!$U253=16,1,0))</f>
        <v>0</v>
      </c>
      <c r="M253" s="156">
        <f>IF(Daten!$V253=17,1,0)</f>
        <v>0</v>
      </c>
      <c r="N253" s="157">
        <f ca="1">IF(Daten!$W253=Sprache!$A$60,1,0)</f>
        <v>0</v>
      </c>
      <c r="O253" s="169">
        <f>IF(AND(Daten!$AK253&lt;=KINVARO!$AW$3,Daten!$AL253&gt;=KINVARO!$AW$3)=TRUE,1,0)</f>
        <v>1</v>
      </c>
      <c r="P253" s="170">
        <f>IF(AND(Daten!$Z253&lt;=KINVARO!$AW$4,Daten!$AA253&gt;=KINVARO!$AW$4)=TRUE,1,0)</f>
        <v>0</v>
      </c>
      <c r="R253" s="170">
        <f>IF(AND(Daten!$AC253&lt;='Material+Limits'!$I$58,Daten!$AD253&gt;='Material+Limits'!$I$58)=TRUE,1,0)</f>
        <v>0</v>
      </c>
      <c r="S253" s="29">
        <f ca="1">IF(Daten!$X253=Sprache!$A$125,1,0)</f>
        <v>1</v>
      </c>
      <c r="T253" s="28" t="str">
        <f ca="1">Sprache!$A$58</f>
        <v>Podnośnik T-65</v>
      </c>
      <c r="U253" s="32">
        <v>14</v>
      </c>
      <c r="V253" s="29">
        <v>14</v>
      </c>
      <c r="W253" s="30">
        <f ca="1">Sprache!$A$131</f>
        <v>0</v>
      </c>
      <c r="X253" s="30">
        <f ca="1">Sprache!$A$126</f>
        <v>0</v>
      </c>
      <c r="Y253" s="30" t="str">
        <f ca="1">Sprache!$A$69</f>
        <v>Front</v>
      </c>
      <c r="Z253" s="30">
        <v>250</v>
      </c>
      <c r="AA253" s="28">
        <v>299</v>
      </c>
      <c r="AB253" s="30"/>
      <c r="AC253" s="31">
        <v>1.8</v>
      </c>
      <c r="AD253" s="53">
        <v>4.2</v>
      </c>
      <c r="AE253" s="30" t="s">
        <v>811</v>
      </c>
      <c r="AF253" s="30" t="str">
        <f ca="1">Sprache!$A$101</f>
        <v>Zestaw (prawy+lewy)</v>
      </c>
      <c r="AG253" s="30" t="s">
        <v>26</v>
      </c>
      <c r="AH253" s="30" t="str">
        <f ca="1">Sprache!$A$120</f>
        <v>Sprężyna żółta dwustronnie</v>
      </c>
      <c r="AI253" s="30" t="s">
        <v>26</v>
      </c>
      <c r="AJ253" s="30" t="s">
        <v>26</v>
      </c>
      <c r="AK253" s="30">
        <f>'Material+Limits'!$K$9</f>
        <v>200</v>
      </c>
      <c r="AL253" s="28">
        <v>1200</v>
      </c>
      <c r="AM253" s="30"/>
      <c r="AN253" s="28"/>
      <c r="AO253"/>
      <c r="AR253"/>
      <c r="AS253"/>
      <c r="AT253"/>
      <c r="AU253"/>
      <c r="AV253"/>
    </row>
    <row r="254" spans="1:48" x14ac:dyDescent="0.25">
      <c r="A254" t="str">
        <f t="shared" ca="1" si="7"/>
        <v/>
      </c>
      <c r="B254" t="str">
        <f t="shared" ca="1" si="6"/>
        <v/>
      </c>
      <c r="C254" s="79">
        <f>IF('Material+Limits'!$P$6=TRUE,1,0)</f>
        <v>0</v>
      </c>
      <c r="D254" s="39">
        <f>IF(Daten!$O254+Daten!$P254+Daten!$R254=3,1,0)</f>
        <v>0</v>
      </c>
      <c r="E254" s="184">
        <f ca="1">IF(AND('Material+Limits'!$Q$21=TRUE,Daten!N254=1)=TRUE,1,0)</f>
        <v>0</v>
      </c>
      <c r="F254" s="185">
        <f>IF(AND('Material+Limits'!$Q$25=TRUE,Daten!M254=1)=TRUE,1,0)</f>
        <v>0</v>
      </c>
      <c r="G254" s="185">
        <f>IF(AND('Material+Limits'!$Q$24=TRUE,Daten!L254=1)=TRUE,1,0)</f>
        <v>0</v>
      </c>
      <c r="H254" s="185">
        <f>IF(AND('Material+Limits'!$Q$23=TRUE,Daten!K254=1)=TRUE,1,0)</f>
        <v>0</v>
      </c>
      <c r="I254" s="185">
        <f>IF(AND('Material+Limits'!$Q$22=TRUE,Daten!J254=1)=TRUE,1,0)</f>
        <v>0</v>
      </c>
      <c r="J254" s="158">
        <f>IF(Daten!$U254=13,1,0)</f>
        <v>0</v>
      </c>
      <c r="K254" s="159">
        <f>IF(Daten!$U254&lt;&gt;Daten!$V254,1,IF(Daten!$U254=14,1,0))</f>
        <v>1</v>
      </c>
      <c r="L254" s="159">
        <f>IF(Daten!$U254&lt;&gt;Daten!$V254,1,IF(Daten!$U254=16,1,0))</f>
        <v>0</v>
      </c>
      <c r="M254" s="159">
        <f>IF(Daten!$V254=17,1,0)</f>
        <v>0</v>
      </c>
      <c r="N254" s="160">
        <f ca="1">IF(Daten!$W254=Sprache!$A$60,1,0)</f>
        <v>0</v>
      </c>
      <c r="O254" s="171">
        <f>IF(AND(Daten!$AK254&lt;=KINVARO!$AW$3,Daten!$AL254&gt;=KINVARO!$AW$3)=TRUE,1,0)</f>
        <v>1</v>
      </c>
      <c r="P254" s="172">
        <f>IF(AND(Daten!$Z254&lt;=KINVARO!$AW$4,Daten!$AA254&gt;=KINVARO!$AW$4)=TRUE,1,0)</f>
        <v>0</v>
      </c>
      <c r="Q254" s="172"/>
      <c r="R254" s="172">
        <f>IF(AND(Daten!$AC254&lt;='Material+Limits'!$I$58,Daten!$AD254&gt;='Material+Limits'!$I$58)=TRUE,1,0)</f>
        <v>1</v>
      </c>
      <c r="S254" s="23">
        <f ca="1">IF(Daten!$X254=Sprache!$A$125,1,0)</f>
        <v>1</v>
      </c>
      <c r="T254" s="24" t="str">
        <f ca="1">Sprache!$A$58</f>
        <v>Podnośnik T-65</v>
      </c>
      <c r="U254" s="27">
        <v>14</v>
      </c>
      <c r="V254" s="23">
        <v>14</v>
      </c>
      <c r="W254" s="25">
        <f ca="1">Sprache!$A$131</f>
        <v>0</v>
      </c>
      <c r="X254" s="25">
        <f ca="1">Sprache!$A$126</f>
        <v>0</v>
      </c>
      <c r="Y254" s="25" t="str">
        <f ca="1">Sprache!$A$69</f>
        <v>Front</v>
      </c>
      <c r="Z254" s="25">
        <v>250</v>
      </c>
      <c r="AA254" s="24">
        <v>299</v>
      </c>
      <c r="AB254" s="25"/>
      <c r="AC254" s="26">
        <v>2.4</v>
      </c>
      <c r="AD254" s="54">
        <v>7.4</v>
      </c>
      <c r="AE254" s="25" t="s">
        <v>811</v>
      </c>
      <c r="AF254" s="25" t="str">
        <f ca="1">Sprache!$A$101</f>
        <v>Zestaw (prawy+lewy)</v>
      </c>
      <c r="AG254" s="25" t="s">
        <v>26</v>
      </c>
      <c r="AH254" s="25" t="str">
        <f ca="1">Sprache!$A$121</f>
        <v>Sprężyna czarna dwustronnie</v>
      </c>
      <c r="AI254" s="25" t="s">
        <v>26</v>
      </c>
      <c r="AJ254" s="25" t="s">
        <v>26</v>
      </c>
      <c r="AK254" s="25">
        <f>'Material+Limits'!$K$9</f>
        <v>200</v>
      </c>
      <c r="AL254" s="24">
        <v>1200</v>
      </c>
      <c r="AM254" s="30"/>
      <c r="AN254" s="24"/>
      <c r="AO254"/>
      <c r="AR254"/>
      <c r="AS254"/>
      <c r="AT254"/>
      <c r="AU254"/>
      <c r="AV254"/>
    </row>
    <row r="255" spans="1:48" x14ac:dyDescent="0.25">
      <c r="A255" t="str">
        <f t="shared" ca="1" si="7"/>
        <v/>
      </c>
      <c r="B255" t="str">
        <f t="shared" ca="1" si="6"/>
        <v/>
      </c>
      <c r="C255" s="79">
        <f>IF('Material+Limits'!$P$6=TRUE,1,0)</f>
        <v>0</v>
      </c>
      <c r="D255" s="39">
        <f>IF(Daten!$O255+Daten!$P255+Daten!$R255=3,1,0)</f>
        <v>0</v>
      </c>
      <c r="E255" s="184">
        <f ca="1">IF(AND('Material+Limits'!$Q$21=TRUE,Daten!N255=1)=TRUE,1,0)</f>
        <v>0</v>
      </c>
      <c r="F255" s="185">
        <f>IF(AND('Material+Limits'!$Q$25=TRUE,Daten!M255=1)=TRUE,1,0)</f>
        <v>0</v>
      </c>
      <c r="G255" s="185">
        <f>IF(AND('Material+Limits'!$Q$24=TRUE,Daten!L255=1)=TRUE,1,0)</f>
        <v>0</v>
      </c>
      <c r="H255" s="185">
        <f>IF(AND('Material+Limits'!$Q$23=TRUE,Daten!K255=1)=TRUE,1,0)</f>
        <v>0</v>
      </c>
      <c r="I255" s="185">
        <f>IF(AND('Material+Limits'!$Q$22=TRUE,Daten!J255=1)=TRUE,1,0)</f>
        <v>0</v>
      </c>
      <c r="J255" s="155">
        <f>IF(Daten!$U255=13,1,0)</f>
        <v>0</v>
      </c>
      <c r="K255" s="156">
        <f>IF(Daten!$U255&lt;&gt;Daten!$V255,1,IF(Daten!$U255=14,1,0))</f>
        <v>0</v>
      </c>
      <c r="L255" s="156">
        <f>IF(Daten!$U255&lt;&gt;Daten!$V255,1,IF(Daten!$U255=16,1,0))</f>
        <v>1</v>
      </c>
      <c r="M255" s="156">
        <f>IF(Daten!$V255=17,1,0)</f>
        <v>0</v>
      </c>
      <c r="N255" s="157">
        <f ca="1">IF(Daten!$W255=Sprache!$A$60,1,0)</f>
        <v>0</v>
      </c>
      <c r="O255" s="169">
        <f>IF(AND(Daten!$AK255&lt;=KINVARO!$AW$3,Daten!$AL255&gt;=KINVARO!$AW$3)=TRUE,1,0)</f>
        <v>1</v>
      </c>
      <c r="P255" s="170">
        <f>IF(AND(Daten!$Z255&lt;=KINVARO!$AW$4,Daten!$AA255&gt;=KINVARO!$AW$4)=TRUE,1,0)</f>
        <v>0</v>
      </c>
      <c r="R255" s="170">
        <f>IF(AND(Daten!$AC255&lt;='Material+Limits'!$I$58,Daten!$AD255&gt;='Material+Limits'!$I$58)=TRUE,1,0)</f>
        <v>0</v>
      </c>
      <c r="S255" s="29">
        <f ca="1">IF(Daten!$X255=Sprache!$A$125,1,0)</f>
        <v>1</v>
      </c>
      <c r="T255" s="28" t="str">
        <f ca="1">Sprache!$A$58</f>
        <v>Podnośnik T-65</v>
      </c>
      <c r="U255" s="32">
        <v>16</v>
      </c>
      <c r="V255" s="29">
        <v>16</v>
      </c>
      <c r="W255" s="30">
        <f ca="1">Sprache!$A$131</f>
        <v>0</v>
      </c>
      <c r="X255" s="30">
        <f ca="1">Sprache!$A$126</f>
        <v>0</v>
      </c>
      <c r="Y255" s="30" t="str">
        <f ca="1">Sprache!$A$69</f>
        <v>Front</v>
      </c>
      <c r="Z255" s="30">
        <v>250</v>
      </c>
      <c r="AA255" s="28">
        <v>299</v>
      </c>
      <c r="AB255" s="30"/>
      <c r="AC255" s="31">
        <v>0.9</v>
      </c>
      <c r="AD255" s="53">
        <v>2.1</v>
      </c>
      <c r="AE255" s="30" t="s">
        <v>812</v>
      </c>
      <c r="AF255" s="30" t="str">
        <f ca="1">Sprache!$A$101</f>
        <v>Zestaw (prawy+lewy)</v>
      </c>
      <c r="AG255" s="30" t="s">
        <v>26</v>
      </c>
      <c r="AH255" s="30" t="str">
        <f ca="1">Sprache!$A$119</f>
        <v>Sprężyna żółta jednostronnie</v>
      </c>
      <c r="AI255" s="30" t="s">
        <v>26</v>
      </c>
      <c r="AJ255" s="30" t="s">
        <v>26</v>
      </c>
      <c r="AK255" s="30">
        <f>'Material+Limits'!$K$9</f>
        <v>200</v>
      </c>
      <c r="AL255" s="28">
        <v>1200</v>
      </c>
      <c r="AM255" s="30"/>
      <c r="AN255" s="28"/>
      <c r="AO255"/>
      <c r="AR255"/>
      <c r="AS255"/>
      <c r="AT255"/>
      <c r="AU255"/>
      <c r="AV255"/>
    </row>
    <row r="256" spans="1:48" x14ac:dyDescent="0.25">
      <c r="A256" t="str">
        <f t="shared" ca="1" si="7"/>
        <v/>
      </c>
      <c r="B256" t="str">
        <f t="shared" ca="1" si="6"/>
        <v/>
      </c>
      <c r="C256" s="79">
        <f>IF('Material+Limits'!$P$6=TRUE,1,0)</f>
        <v>0</v>
      </c>
      <c r="D256" s="39">
        <f>IF(Daten!$O256+Daten!$P256+Daten!$R256=3,1,0)</f>
        <v>0</v>
      </c>
      <c r="E256" s="184">
        <f ca="1">IF(AND('Material+Limits'!$Q$21=TRUE,Daten!N256=1)=TRUE,1,0)</f>
        <v>0</v>
      </c>
      <c r="F256" s="185">
        <f>IF(AND('Material+Limits'!$Q$25=TRUE,Daten!M256=1)=TRUE,1,0)</f>
        <v>0</v>
      </c>
      <c r="G256" s="185">
        <f>IF(AND('Material+Limits'!$Q$24=TRUE,Daten!L256=1)=TRUE,1,0)</f>
        <v>0</v>
      </c>
      <c r="H256" s="185">
        <f>IF(AND('Material+Limits'!$Q$23=TRUE,Daten!K256=1)=TRUE,1,0)</f>
        <v>0</v>
      </c>
      <c r="I256" s="185">
        <f>IF(AND('Material+Limits'!$Q$22=TRUE,Daten!J256=1)=TRUE,1,0)</f>
        <v>0</v>
      </c>
      <c r="J256" s="158">
        <f>IF(Daten!$U256=13,1,0)</f>
        <v>0</v>
      </c>
      <c r="K256" s="159">
        <f>IF(Daten!$U256&lt;&gt;Daten!$V256,1,IF(Daten!$U256=14,1,0))</f>
        <v>0</v>
      </c>
      <c r="L256" s="159">
        <f>IF(Daten!$U256&lt;&gt;Daten!$V256,1,IF(Daten!$U256=16,1,0))</f>
        <v>1</v>
      </c>
      <c r="M256" s="159">
        <f>IF(Daten!$V256=17,1,0)</f>
        <v>0</v>
      </c>
      <c r="N256" s="160">
        <f ca="1">IF(Daten!$W256=Sprache!$A$60,1,0)</f>
        <v>0</v>
      </c>
      <c r="O256" s="171">
        <f>IF(AND(Daten!$AK256&lt;=KINVARO!$AW$3,Daten!$AL256&gt;=KINVARO!$AW$3)=TRUE,1,0)</f>
        <v>1</v>
      </c>
      <c r="P256" s="172">
        <f>IF(AND(Daten!$Z256&lt;=KINVARO!$AW$4,Daten!$AA256&gt;=KINVARO!$AW$4)=TRUE,1,0)</f>
        <v>0</v>
      </c>
      <c r="Q256" s="172"/>
      <c r="R256" s="172">
        <f>IF(AND(Daten!$AC256&lt;='Material+Limits'!$I$58,Daten!$AD256&gt;='Material+Limits'!$I$58)=TRUE,1,0)</f>
        <v>0</v>
      </c>
      <c r="S256" s="23">
        <f ca="1">IF(Daten!$X256=Sprache!$A$125,1,0)</f>
        <v>1</v>
      </c>
      <c r="T256" s="24" t="str">
        <f ca="1">Sprache!$A$58</f>
        <v>Podnośnik T-65</v>
      </c>
      <c r="U256" s="27">
        <v>16</v>
      </c>
      <c r="V256" s="23">
        <v>16</v>
      </c>
      <c r="W256" s="25">
        <f ca="1">Sprache!$A$131</f>
        <v>0</v>
      </c>
      <c r="X256" s="25">
        <f ca="1">Sprache!$A$126</f>
        <v>0</v>
      </c>
      <c r="Y256" s="25" t="str">
        <f ca="1">Sprache!$A$69</f>
        <v>Front</v>
      </c>
      <c r="Z256" s="25">
        <v>250</v>
      </c>
      <c r="AA256" s="24">
        <v>299</v>
      </c>
      <c r="AB256" s="25"/>
      <c r="AC256" s="26">
        <v>1.8</v>
      </c>
      <c r="AD256" s="54">
        <v>4.2</v>
      </c>
      <c r="AE256" s="25" t="s">
        <v>812</v>
      </c>
      <c r="AF256" s="25" t="str">
        <f ca="1">Sprache!$A$101</f>
        <v>Zestaw (prawy+lewy)</v>
      </c>
      <c r="AG256" s="25" t="s">
        <v>26</v>
      </c>
      <c r="AH256" s="25" t="str">
        <f ca="1">Sprache!$A$120</f>
        <v>Sprężyna żółta dwustronnie</v>
      </c>
      <c r="AI256" s="25" t="s">
        <v>26</v>
      </c>
      <c r="AJ256" s="25" t="s">
        <v>26</v>
      </c>
      <c r="AK256" s="25">
        <f>'Material+Limits'!$K$9</f>
        <v>200</v>
      </c>
      <c r="AL256" s="24">
        <v>1200</v>
      </c>
      <c r="AM256" s="30"/>
      <c r="AN256" s="24"/>
      <c r="AO256"/>
      <c r="AR256"/>
      <c r="AS256"/>
      <c r="AT256"/>
      <c r="AU256"/>
      <c r="AV256"/>
    </row>
    <row r="257" spans="1:48" x14ac:dyDescent="0.25">
      <c r="A257" t="str">
        <f t="shared" ca="1" si="7"/>
        <v/>
      </c>
      <c r="B257" t="str">
        <f t="shared" ca="1" si="6"/>
        <v/>
      </c>
      <c r="C257" s="79">
        <f>IF('Material+Limits'!$P$6=TRUE,1,0)</f>
        <v>0</v>
      </c>
      <c r="D257" s="39">
        <f>IF(Daten!$O257+Daten!$P257+Daten!$R257=3,1,0)</f>
        <v>0</v>
      </c>
      <c r="E257" s="184">
        <f ca="1">IF(AND('Material+Limits'!$Q$21=TRUE,Daten!N257=1)=TRUE,1,0)</f>
        <v>0</v>
      </c>
      <c r="F257" s="185">
        <f>IF(AND('Material+Limits'!$Q$25=TRUE,Daten!M257=1)=TRUE,1,0)</f>
        <v>0</v>
      </c>
      <c r="G257" s="185">
        <f>IF(AND('Material+Limits'!$Q$24=TRUE,Daten!L257=1)=TRUE,1,0)</f>
        <v>0</v>
      </c>
      <c r="H257" s="185">
        <f>IF(AND('Material+Limits'!$Q$23=TRUE,Daten!K257=1)=TRUE,1,0)</f>
        <v>0</v>
      </c>
      <c r="I257" s="185">
        <f>IF(AND('Material+Limits'!$Q$22=TRUE,Daten!J257=1)=TRUE,1,0)</f>
        <v>0</v>
      </c>
      <c r="J257" s="155">
        <f>IF(Daten!$U257=13,1,0)</f>
        <v>0</v>
      </c>
      <c r="K257" s="156">
        <f>IF(Daten!$U257&lt;&gt;Daten!$V257,1,IF(Daten!$U257=14,1,0))</f>
        <v>0</v>
      </c>
      <c r="L257" s="156">
        <f>IF(Daten!$U257&lt;&gt;Daten!$V257,1,IF(Daten!$U257=16,1,0))</f>
        <v>1</v>
      </c>
      <c r="M257" s="156">
        <f>IF(Daten!$V257=17,1,0)</f>
        <v>0</v>
      </c>
      <c r="N257" s="157">
        <f ca="1">IF(Daten!$W257=Sprache!$A$60,1,0)</f>
        <v>0</v>
      </c>
      <c r="O257" s="169">
        <f>IF(AND(Daten!$AK257&lt;=KINVARO!$AW$3,Daten!$AL257&gt;=KINVARO!$AW$3)=TRUE,1,0)</f>
        <v>1</v>
      </c>
      <c r="P257" s="170">
        <f>IF(AND(Daten!$Z257&lt;=KINVARO!$AW$4,Daten!$AA257&gt;=KINVARO!$AW$4)=TRUE,1,0)</f>
        <v>0</v>
      </c>
      <c r="R257" s="170">
        <f>IF(AND(Daten!$AC257&lt;='Material+Limits'!$I$58,Daten!$AD257&gt;='Material+Limits'!$I$58)=TRUE,1,0)</f>
        <v>1</v>
      </c>
      <c r="S257" s="29">
        <f ca="1">IF(Daten!$X257=Sprache!$A$125,1,0)</f>
        <v>1</v>
      </c>
      <c r="T257" s="28" t="str">
        <f ca="1">Sprache!$A$58</f>
        <v>Podnośnik T-65</v>
      </c>
      <c r="U257" s="32">
        <v>16</v>
      </c>
      <c r="V257" s="29">
        <v>16</v>
      </c>
      <c r="W257" s="30">
        <f ca="1">Sprache!$A$131</f>
        <v>0</v>
      </c>
      <c r="X257" s="30">
        <f ca="1">Sprache!$A$126</f>
        <v>0</v>
      </c>
      <c r="Y257" s="30" t="str">
        <f ca="1">Sprache!$A$69</f>
        <v>Front</v>
      </c>
      <c r="Z257" s="30">
        <v>250</v>
      </c>
      <c r="AA257" s="28">
        <v>299</v>
      </c>
      <c r="AB257" s="30"/>
      <c r="AC257" s="31">
        <v>2.4</v>
      </c>
      <c r="AD257" s="53">
        <v>7.4</v>
      </c>
      <c r="AE257" s="30" t="s">
        <v>812</v>
      </c>
      <c r="AF257" s="30" t="str">
        <f ca="1">Sprache!$A$101</f>
        <v>Zestaw (prawy+lewy)</v>
      </c>
      <c r="AG257" s="30" t="s">
        <v>26</v>
      </c>
      <c r="AH257" s="30" t="str">
        <f ca="1">Sprache!$A$121</f>
        <v>Sprężyna czarna dwustronnie</v>
      </c>
      <c r="AI257" s="30" t="s">
        <v>26</v>
      </c>
      <c r="AJ257" s="30" t="s">
        <v>26</v>
      </c>
      <c r="AK257" s="30">
        <f>'Material+Limits'!$K$9</f>
        <v>200</v>
      </c>
      <c r="AL257" s="28">
        <v>1200</v>
      </c>
      <c r="AM257" s="30"/>
      <c r="AN257" s="28"/>
      <c r="AO257"/>
      <c r="AR257"/>
      <c r="AS257"/>
      <c r="AT257"/>
      <c r="AU257"/>
      <c r="AV257"/>
    </row>
    <row r="258" spans="1:48" x14ac:dyDescent="0.25">
      <c r="A258" t="str">
        <f t="shared" ca="1" si="7"/>
        <v/>
      </c>
      <c r="B258" t="str">
        <f t="shared" ref="B258:B321" ca="1" si="8">IF(F258+G258+H258+I258+D258+E258=2,1,"")</f>
        <v/>
      </c>
      <c r="C258" s="79">
        <f>IF('Material+Limits'!$P$6=TRUE,1,0)</f>
        <v>0</v>
      </c>
      <c r="D258" s="39">
        <f>IF(Daten!$O258+Daten!$P258+Daten!$R258=3,1,0)</f>
        <v>0</v>
      </c>
      <c r="E258" s="184">
        <f ca="1">IF(AND('Material+Limits'!$Q$21=TRUE,Daten!N258=1)=TRUE,1,0)</f>
        <v>0</v>
      </c>
      <c r="F258" s="185">
        <f>IF(AND('Material+Limits'!$Q$25=TRUE,Daten!M258=1)=TRUE,1,0)</f>
        <v>0</v>
      </c>
      <c r="G258" s="185">
        <f>IF(AND('Material+Limits'!$Q$24=TRUE,Daten!L258=1)=TRUE,1,0)</f>
        <v>0</v>
      </c>
      <c r="H258" s="185">
        <f>IF(AND('Material+Limits'!$Q$23=TRUE,Daten!K258=1)=TRUE,1,0)</f>
        <v>0</v>
      </c>
      <c r="I258" s="185">
        <f>IF(AND('Material+Limits'!$Q$22=TRUE,Daten!J258=1)=TRUE,1,0)</f>
        <v>0</v>
      </c>
      <c r="J258" s="158">
        <f>IF(Daten!$U258=13,1,0)</f>
        <v>0</v>
      </c>
      <c r="K258" s="159">
        <f>IF(Daten!$U258&lt;&gt;Daten!$V258,1,IF(Daten!$U258=14,1,0))</f>
        <v>0</v>
      </c>
      <c r="L258" s="159">
        <f>IF(Daten!$U258&lt;&gt;Daten!$V258,1,IF(Daten!$U258=16,1,0))</f>
        <v>0</v>
      </c>
      <c r="M258" s="159">
        <f>IF(Daten!$V258=17,1,0)</f>
        <v>1</v>
      </c>
      <c r="N258" s="160">
        <f ca="1">IF(Daten!$W258=Sprache!$A$60,1,0)</f>
        <v>0</v>
      </c>
      <c r="O258" s="171">
        <f>IF(AND(Daten!$AK258&lt;=KINVARO!$AW$3,Daten!$AL258&gt;=KINVARO!$AW$3)=TRUE,1,0)</f>
        <v>1</v>
      </c>
      <c r="P258" s="172">
        <f>IF(AND(Daten!$Z258&lt;=KINVARO!$AW$4,Daten!$AA258&gt;=KINVARO!$AW$4)=TRUE,1,0)</f>
        <v>0</v>
      </c>
      <c r="Q258" s="172"/>
      <c r="R258" s="172">
        <f>IF(AND(Daten!$AC258&lt;='Material+Limits'!$I$58,Daten!$AD258&gt;='Material+Limits'!$I$58)=TRUE,1,0)</f>
        <v>0</v>
      </c>
      <c r="S258" s="23">
        <f ca="1">IF(Daten!$X258=Sprache!$A$125,1,0)</f>
        <v>1</v>
      </c>
      <c r="T258" s="24" t="str">
        <f ca="1">Sprache!$A$58</f>
        <v>Podnośnik T-65</v>
      </c>
      <c r="U258" s="27">
        <v>17</v>
      </c>
      <c r="V258" s="23">
        <v>17</v>
      </c>
      <c r="W258" s="25">
        <f ca="1">Sprache!$A$131</f>
        <v>0</v>
      </c>
      <c r="X258" s="25">
        <f ca="1">Sprache!$A$126</f>
        <v>0</v>
      </c>
      <c r="Y258" s="25" t="str">
        <f ca="1">Sprache!$A$69</f>
        <v>Front</v>
      </c>
      <c r="Z258" s="25">
        <v>250</v>
      </c>
      <c r="AA258" s="24">
        <v>299</v>
      </c>
      <c r="AB258" s="25"/>
      <c r="AC258" s="26">
        <v>0.9</v>
      </c>
      <c r="AD258" s="54">
        <v>2.1</v>
      </c>
      <c r="AE258" s="25" t="s">
        <v>813</v>
      </c>
      <c r="AF258" s="25" t="str">
        <f ca="1">Sprache!$A$101</f>
        <v>Zestaw (prawy+lewy)</v>
      </c>
      <c r="AG258" s="25" t="s">
        <v>26</v>
      </c>
      <c r="AH258" s="25" t="str">
        <f ca="1">Sprache!$A$119</f>
        <v>Sprężyna żółta jednostronnie</v>
      </c>
      <c r="AI258" s="25" t="s">
        <v>26</v>
      </c>
      <c r="AJ258" s="25" t="s">
        <v>26</v>
      </c>
      <c r="AK258" s="25">
        <f>'Material+Limits'!$K$9</f>
        <v>200</v>
      </c>
      <c r="AL258" s="24">
        <v>1200</v>
      </c>
      <c r="AM258" s="30"/>
      <c r="AN258" s="24"/>
      <c r="AO258"/>
      <c r="AR258"/>
      <c r="AS258"/>
      <c r="AT258"/>
      <c r="AU258"/>
      <c r="AV258"/>
    </row>
    <row r="259" spans="1:48" x14ac:dyDescent="0.25">
      <c r="A259" t="str">
        <f t="shared" ref="A259:A322" ca="1" si="9">IF(E259+F259+G259+H259+I259+C259+D259=3,1,"")</f>
        <v/>
      </c>
      <c r="B259" t="str">
        <f t="shared" ca="1" si="8"/>
        <v/>
      </c>
      <c r="C259" s="79">
        <f>IF('Material+Limits'!$P$6=TRUE,1,0)</f>
        <v>0</v>
      </c>
      <c r="D259" s="39">
        <f>IF(Daten!$O259+Daten!$P259+Daten!$R259=3,1,0)</f>
        <v>0</v>
      </c>
      <c r="E259" s="184">
        <f ca="1">IF(AND('Material+Limits'!$Q$21=TRUE,Daten!N259=1)=TRUE,1,0)</f>
        <v>0</v>
      </c>
      <c r="F259" s="185">
        <f>IF(AND('Material+Limits'!$Q$25=TRUE,Daten!M259=1)=TRUE,1,0)</f>
        <v>0</v>
      </c>
      <c r="G259" s="185">
        <f>IF(AND('Material+Limits'!$Q$24=TRUE,Daten!L259=1)=TRUE,1,0)</f>
        <v>0</v>
      </c>
      <c r="H259" s="185">
        <f>IF(AND('Material+Limits'!$Q$23=TRUE,Daten!K259=1)=TRUE,1,0)</f>
        <v>0</v>
      </c>
      <c r="I259" s="185">
        <f>IF(AND('Material+Limits'!$Q$22=TRUE,Daten!J259=1)=TRUE,1,0)</f>
        <v>0</v>
      </c>
      <c r="J259" s="155">
        <f>IF(Daten!$U259=13,1,0)</f>
        <v>0</v>
      </c>
      <c r="K259" s="156">
        <f>IF(Daten!$U259&lt;&gt;Daten!$V259,1,IF(Daten!$U259=14,1,0))</f>
        <v>0</v>
      </c>
      <c r="L259" s="156">
        <f>IF(Daten!$U259&lt;&gt;Daten!$V259,1,IF(Daten!$U259=16,1,0))</f>
        <v>0</v>
      </c>
      <c r="M259" s="156">
        <f>IF(Daten!$V259=17,1,0)</f>
        <v>1</v>
      </c>
      <c r="N259" s="157">
        <f ca="1">IF(Daten!$W259=Sprache!$A$60,1,0)</f>
        <v>0</v>
      </c>
      <c r="O259" s="169">
        <f>IF(AND(Daten!$AK259&lt;=KINVARO!$AW$3,Daten!$AL259&gt;=KINVARO!$AW$3)=TRUE,1,0)</f>
        <v>1</v>
      </c>
      <c r="P259" s="170">
        <f>IF(AND(Daten!$Z259&lt;=KINVARO!$AW$4,Daten!$AA259&gt;=KINVARO!$AW$4)=TRUE,1,0)</f>
        <v>0</v>
      </c>
      <c r="R259" s="170">
        <f>IF(AND(Daten!$AC259&lt;='Material+Limits'!$I$58,Daten!$AD259&gt;='Material+Limits'!$I$58)=TRUE,1,0)</f>
        <v>0</v>
      </c>
      <c r="S259" s="29">
        <f ca="1">IF(Daten!$X259=Sprache!$A$125,1,0)</f>
        <v>1</v>
      </c>
      <c r="T259" s="28" t="str">
        <f ca="1">Sprache!$A$58</f>
        <v>Podnośnik T-65</v>
      </c>
      <c r="U259" s="32">
        <v>17</v>
      </c>
      <c r="V259" s="29">
        <v>17</v>
      </c>
      <c r="W259" s="30">
        <f ca="1">Sprache!$A$131</f>
        <v>0</v>
      </c>
      <c r="X259" s="30">
        <f ca="1">Sprache!$A$126</f>
        <v>0</v>
      </c>
      <c r="Y259" s="30" t="str">
        <f ca="1">Sprache!$A$69</f>
        <v>Front</v>
      </c>
      <c r="Z259" s="30">
        <v>250</v>
      </c>
      <c r="AA259" s="28">
        <v>299</v>
      </c>
      <c r="AB259" s="30"/>
      <c r="AC259" s="31">
        <v>1.8</v>
      </c>
      <c r="AD259" s="53">
        <v>4.2</v>
      </c>
      <c r="AE259" s="30" t="s">
        <v>813</v>
      </c>
      <c r="AF259" s="30" t="str">
        <f ca="1">Sprache!$A$101</f>
        <v>Zestaw (prawy+lewy)</v>
      </c>
      <c r="AG259" s="30" t="s">
        <v>26</v>
      </c>
      <c r="AH259" s="30" t="str">
        <f ca="1">Sprache!$A$120</f>
        <v>Sprężyna żółta dwustronnie</v>
      </c>
      <c r="AI259" s="30" t="s">
        <v>26</v>
      </c>
      <c r="AJ259" s="30" t="s">
        <v>26</v>
      </c>
      <c r="AK259" s="30">
        <f>'Material+Limits'!$K$9</f>
        <v>200</v>
      </c>
      <c r="AL259" s="28">
        <v>1200</v>
      </c>
      <c r="AM259" s="30"/>
      <c r="AN259" s="28"/>
      <c r="AO259"/>
      <c r="AR259"/>
      <c r="AS259"/>
      <c r="AT259"/>
      <c r="AU259"/>
      <c r="AV259"/>
    </row>
    <row r="260" spans="1:48" s="5" customFormat="1" x14ac:dyDescent="0.25">
      <c r="A260" t="str">
        <f t="shared" ca="1" si="9"/>
        <v/>
      </c>
      <c r="B260" t="str">
        <f t="shared" ca="1" si="8"/>
        <v/>
      </c>
      <c r="C260" s="79">
        <f>IF('Material+Limits'!$P$6=TRUE,1,0)</f>
        <v>0</v>
      </c>
      <c r="D260" s="39">
        <f>IF(Daten!$O260+Daten!$P260+Daten!$R260=3,1,0)</f>
        <v>0</v>
      </c>
      <c r="E260" s="184">
        <f ca="1">IF(AND('Material+Limits'!$Q$21=TRUE,Daten!N260=1)=TRUE,1,0)</f>
        <v>0</v>
      </c>
      <c r="F260" s="185">
        <f>IF(AND('Material+Limits'!$Q$25=TRUE,Daten!M260=1)=TRUE,1,0)</f>
        <v>0</v>
      </c>
      <c r="G260" s="185">
        <f>IF(AND('Material+Limits'!$Q$24=TRUE,Daten!L260=1)=TRUE,1,0)</f>
        <v>0</v>
      </c>
      <c r="H260" s="185">
        <f>IF(AND('Material+Limits'!$Q$23=TRUE,Daten!K260=1)=TRUE,1,0)</f>
        <v>0</v>
      </c>
      <c r="I260" s="185">
        <f>IF(AND('Material+Limits'!$Q$22=TRUE,Daten!J260=1)=TRUE,1,0)</f>
        <v>0</v>
      </c>
      <c r="J260" s="158">
        <f>IF(Daten!$U260=13,1,0)</f>
        <v>0</v>
      </c>
      <c r="K260" s="159">
        <f>IF(Daten!$U260&lt;&gt;Daten!$V260,1,IF(Daten!$U260=14,1,0))</f>
        <v>0</v>
      </c>
      <c r="L260" s="159">
        <f>IF(Daten!$U260&lt;&gt;Daten!$V260,1,IF(Daten!$U260=16,1,0))</f>
        <v>0</v>
      </c>
      <c r="M260" s="159">
        <f>IF(Daten!$V260=17,1,0)</f>
        <v>1</v>
      </c>
      <c r="N260" s="160">
        <f ca="1">IF(Daten!$W260=Sprache!$A$60,1,0)</f>
        <v>0</v>
      </c>
      <c r="O260" s="171">
        <f>IF(AND(Daten!$AK260&lt;=KINVARO!$AW$3,Daten!$AL260&gt;=KINVARO!$AW$3)=TRUE,1,0)</f>
        <v>1</v>
      </c>
      <c r="P260" s="172">
        <f>IF(AND(Daten!$Z260&lt;=KINVARO!$AW$4,Daten!$AA260&gt;=KINVARO!$AW$4)=TRUE,1,0)</f>
        <v>0</v>
      </c>
      <c r="Q260" s="172"/>
      <c r="R260" s="172">
        <f>IF(AND(Daten!$AC260&lt;='Material+Limits'!$I$58,Daten!$AD260&gt;='Material+Limits'!$I$58)=TRUE,1,0)</f>
        <v>1</v>
      </c>
      <c r="S260" s="23">
        <f ca="1">IF(Daten!$X260=Sprache!$A$125,1,0)</f>
        <v>1</v>
      </c>
      <c r="T260" s="24" t="str">
        <f ca="1">Sprache!$A$58</f>
        <v>Podnośnik T-65</v>
      </c>
      <c r="U260" s="27">
        <v>17</v>
      </c>
      <c r="V260" s="23">
        <v>17</v>
      </c>
      <c r="W260" s="25">
        <f ca="1">Sprache!$A$131</f>
        <v>0</v>
      </c>
      <c r="X260" s="25">
        <f ca="1">Sprache!$A$126</f>
        <v>0</v>
      </c>
      <c r="Y260" s="25" t="str">
        <f ca="1">Sprache!$A$69</f>
        <v>Front</v>
      </c>
      <c r="Z260" s="25">
        <v>250</v>
      </c>
      <c r="AA260" s="24">
        <v>299</v>
      </c>
      <c r="AB260" s="25"/>
      <c r="AC260" s="26">
        <v>2.4</v>
      </c>
      <c r="AD260" s="54">
        <v>7.4</v>
      </c>
      <c r="AE260" s="25" t="s">
        <v>813</v>
      </c>
      <c r="AF260" s="25" t="str">
        <f ca="1">Sprache!$A$101</f>
        <v>Zestaw (prawy+lewy)</v>
      </c>
      <c r="AG260" s="25" t="s">
        <v>26</v>
      </c>
      <c r="AH260" s="25" t="str">
        <f ca="1">Sprache!$A$121</f>
        <v>Sprężyna czarna dwustronnie</v>
      </c>
      <c r="AI260" s="25" t="s">
        <v>26</v>
      </c>
      <c r="AJ260" s="25" t="s">
        <v>26</v>
      </c>
      <c r="AK260" s="25">
        <f>'Material+Limits'!$K$9</f>
        <v>200</v>
      </c>
      <c r="AL260" s="24">
        <v>1200</v>
      </c>
      <c r="AM260" s="30"/>
      <c r="AN260" s="24"/>
    </row>
    <row r="261" spans="1:48" x14ac:dyDescent="0.25">
      <c r="A261" t="str">
        <f t="shared" ca="1" si="9"/>
        <v/>
      </c>
      <c r="B261" t="str">
        <f t="shared" ca="1" si="8"/>
        <v/>
      </c>
      <c r="C261" s="79">
        <f>IF('Material+Limits'!$P$6=TRUE,1,0)</f>
        <v>0</v>
      </c>
      <c r="D261" s="39">
        <f>IF(Daten!$O261+Daten!$P261+Daten!$R261=3,1,0)</f>
        <v>0</v>
      </c>
      <c r="E261" s="184">
        <f ca="1">IF(AND('Material+Limits'!$Q$21=TRUE,Daten!N261=1)=TRUE,1,0)</f>
        <v>1</v>
      </c>
      <c r="F261" s="185">
        <f ca="1">IF(AND('Material+Limits'!$Q$25=TRUE,Daten!M261=1)=TRUE,1,0)</f>
        <v>0</v>
      </c>
      <c r="G261" s="185">
        <f ca="1">IF(AND('Material+Limits'!$Q$24=TRUE,Daten!L261=1)=TRUE,1,0)</f>
        <v>0</v>
      </c>
      <c r="H261" s="185">
        <f ca="1">IF(AND('Material+Limits'!$Q$23=TRUE,Daten!K261=1)=TRUE,1,0)</f>
        <v>0</v>
      </c>
      <c r="I261" s="185">
        <f ca="1">IF(AND('Material+Limits'!$Q$22=TRUE,Daten!J261=1)=TRUE,1,0)</f>
        <v>0</v>
      </c>
      <c r="J261" s="155">
        <f ca="1">IF(Daten!$U261=13,1,0)</f>
        <v>0</v>
      </c>
      <c r="K261" s="156">
        <f ca="1">IF(Daten!$U261&lt;&gt;Daten!$V261,1,IF(Daten!$U261=14,1,0))</f>
        <v>0</v>
      </c>
      <c r="L261" s="156">
        <f ca="1">IF(Daten!$U261&lt;&gt;Daten!$V261,1,IF(Daten!$U261=16,1,0))</f>
        <v>0</v>
      </c>
      <c r="M261" s="156">
        <f ca="1">IF(Daten!$V261=17,1,0)</f>
        <v>0</v>
      </c>
      <c r="N261" s="157">
        <f ca="1">IF(Daten!$W261=Sprache!$A$60,1,0)</f>
        <v>1</v>
      </c>
      <c r="O261" s="177">
        <f>IF(AND(Daten!$AK261&lt;=KINVARO!$AW$3,Daten!$AL261&gt;=KINVARO!$AW$3)=TRUE,1,0)</f>
        <v>1</v>
      </c>
      <c r="P261" s="178">
        <f>IF(AND(Daten!$Z261&lt;=KINVARO!$AW$4,Daten!$AA261&gt;=KINVARO!$AW$4)=TRUE,1,0)</f>
        <v>0</v>
      </c>
      <c r="Q261" s="178"/>
      <c r="R261" s="178">
        <f>IF(AND(Daten!$AC261&lt;='Material+Limits'!$I$58,Daten!$AD261&gt;='Material+Limits'!$I$58)=TRUE,1,0)</f>
        <v>0</v>
      </c>
      <c r="S261" s="67">
        <f ca="1">IF(Daten!$X261=Sprache!$A$125,1,0)</f>
        <v>1</v>
      </c>
      <c r="T261" s="69" t="str">
        <f ca="1">Sprache!$A$58</f>
        <v>Podnośnik T-65</v>
      </c>
      <c r="U261" s="66">
        <f ca="1">Sprache!$A$64</f>
        <v>0</v>
      </c>
      <c r="V261" s="67">
        <f ca="1">Sprache!$A$64</f>
        <v>0</v>
      </c>
      <c r="W261" s="68" t="str">
        <f ca="1">Sprache!$A$60</f>
        <v>Front lity (drewno/płyta)</v>
      </c>
      <c r="X261" s="30">
        <f ca="1">Sprache!$A$126</f>
        <v>0</v>
      </c>
      <c r="Y261" s="68" t="str">
        <f ca="1">Sprache!$A$69</f>
        <v>Front</v>
      </c>
      <c r="Z261" s="68">
        <v>300</v>
      </c>
      <c r="AA261" s="69">
        <v>349</v>
      </c>
      <c r="AB261" s="68"/>
      <c r="AC261" s="70">
        <v>0.7</v>
      </c>
      <c r="AD261" s="71">
        <v>1.7</v>
      </c>
      <c r="AE261" s="68" t="s">
        <v>809</v>
      </c>
      <c r="AF261" s="68" t="str">
        <f ca="1">Sprache!$A$101</f>
        <v>Zestaw (prawy+lewy)</v>
      </c>
      <c r="AG261" s="68" t="s">
        <v>26</v>
      </c>
      <c r="AH261" s="68" t="str">
        <f ca="1">Sprache!$A$119</f>
        <v>Sprężyna żółta jednostronnie</v>
      </c>
      <c r="AI261" s="30" t="s">
        <v>26</v>
      </c>
      <c r="AJ261" s="30" t="s">
        <v>26</v>
      </c>
      <c r="AK261" s="68">
        <f>'Material+Limits'!$K$9</f>
        <v>200</v>
      </c>
      <c r="AL261" s="69">
        <v>1200</v>
      </c>
      <c r="AM261" s="30"/>
      <c r="AN261" s="28"/>
      <c r="AO261"/>
      <c r="AR261"/>
      <c r="AS261"/>
      <c r="AT261"/>
      <c r="AU261"/>
      <c r="AV261"/>
    </row>
    <row r="262" spans="1:48" x14ac:dyDescent="0.25">
      <c r="A262" t="str">
        <f t="shared" ca="1" si="9"/>
        <v/>
      </c>
      <c r="B262" t="str">
        <f t="shared" ca="1" si="8"/>
        <v/>
      </c>
      <c r="C262" s="79">
        <f>IF('Material+Limits'!$P$6=TRUE,1,0)</f>
        <v>0</v>
      </c>
      <c r="D262" s="39">
        <f>IF(Daten!$O262+Daten!$P262+Daten!$R262=3,1,0)</f>
        <v>0</v>
      </c>
      <c r="E262" s="184">
        <f ca="1">IF(AND('Material+Limits'!$Q$21=TRUE,Daten!N262=1)=TRUE,1,0)</f>
        <v>1</v>
      </c>
      <c r="F262" s="185">
        <f ca="1">IF(AND('Material+Limits'!$Q$25=TRUE,Daten!M262=1)=TRUE,1,0)</f>
        <v>0</v>
      </c>
      <c r="G262" s="185">
        <f ca="1">IF(AND('Material+Limits'!$Q$24=TRUE,Daten!L262=1)=TRUE,1,0)</f>
        <v>0</v>
      </c>
      <c r="H262" s="185">
        <f ca="1">IF(AND('Material+Limits'!$Q$23=TRUE,Daten!K262=1)=TRUE,1,0)</f>
        <v>0</v>
      </c>
      <c r="I262" s="185">
        <f ca="1">IF(AND('Material+Limits'!$Q$22=TRUE,Daten!J262=1)=TRUE,1,0)</f>
        <v>0</v>
      </c>
      <c r="J262" s="158">
        <f ca="1">IF(Daten!$U262=13,1,0)</f>
        <v>0</v>
      </c>
      <c r="K262" s="159">
        <f ca="1">IF(Daten!$U262&lt;&gt;Daten!$V262,1,IF(Daten!$U262=14,1,0))</f>
        <v>0</v>
      </c>
      <c r="L262" s="159">
        <f ca="1">IF(Daten!$U262&lt;&gt;Daten!$V262,1,IF(Daten!$U262=16,1,0))</f>
        <v>0</v>
      </c>
      <c r="M262" s="159">
        <f ca="1">IF(Daten!$V262=17,1,0)</f>
        <v>0</v>
      </c>
      <c r="N262" s="160">
        <f ca="1">IF(Daten!$W262=Sprache!$A$60,1,0)</f>
        <v>1</v>
      </c>
      <c r="O262" s="171">
        <f>IF(AND(Daten!$AK262&lt;=KINVARO!$AW$3,Daten!$AL262&gt;=KINVARO!$AW$3)=TRUE,1,0)</f>
        <v>1</v>
      </c>
      <c r="P262" s="172">
        <f>IF(AND(Daten!$Z262&lt;=KINVARO!$AW$4,Daten!$AA262&gt;=KINVARO!$AW$4)=TRUE,1,0)</f>
        <v>0</v>
      </c>
      <c r="Q262" s="172"/>
      <c r="R262" s="172">
        <f>IF(AND(Daten!$AC262&lt;='Material+Limits'!$I$58,Daten!$AD262&gt;='Material+Limits'!$I$58)=TRUE,1,0)</f>
        <v>0</v>
      </c>
      <c r="S262" s="23">
        <f ca="1">IF(Daten!$X262=Sprache!$A$125,1,0)</f>
        <v>1</v>
      </c>
      <c r="T262" s="24" t="str">
        <f ca="1">Sprache!$A$58</f>
        <v>Podnośnik T-65</v>
      </c>
      <c r="U262" s="27">
        <f ca="1">Sprache!$A$64</f>
        <v>0</v>
      </c>
      <c r="V262" s="23">
        <f ca="1">Sprache!$A$64</f>
        <v>0</v>
      </c>
      <c r="W262" s="25" t="str">
        <f ca="1">Sprache!$A$60</f>
        <v>Front lity (drewno/płyta)</v>
      </c>
      <c r="X262" s="25">
        <f ca="1">Sprache!$A$126</f>
        <v>0</v>
      </c>
      <c r="Y262" s="25" t="str">
        <f ca="1">Sprache!$A$69</f>
        <v>Front</v>
      </c>
      <c r="Z262" s="25">
        <v>300</v>
      </c>
      <c r="AA262" s="24">
        <v>349</v>
      </c>
      <c r="AB262" s="25"/>
      <c r="AC262" s="26">
        <v>1.4</v>
      </c>
      <c r="AD262" s="54">
        <v>3.4</v>
      </c>
      <c r="AE262" s="25" t="s">
        <v>809</v>
      </c>
      <c r="AF262" s="25" t="str">
        <f ca="1">Sprache!$A$101</f>
        <v>Zestaw (prawy+lewy)</v>
      </c>
      <c r="AG262" s="25" t="s">
        <v>26</v>
      </c>
      <c r="AH262" s="25" t="str">
        <f ca="1">Sprache!$A$120</f>
        <v>Sprężyna żółta dwustronnie</v>
      </c>
      <c r="AI262" s="25" t="s">
        <v>26</v>
      </c>
      <c r="AJ262" s="25" t="s">
        <v>26</v>
      </c>
      <c r="AK262" s="25">
        <f>'Material+Limits'!$K$9</f>
        <v>200</v>
      </c>
      <c r="AL262" s="24">
        <v>1200</v>
      </c>
      <c r="AM262" s="30"/>
      <c r="AN262" s="24"/>
      <c r="AO262"/>
      <c r="AR262"/>
      <c r="AS262"/>
      <c r="AT262"/>
      <c r="AU262"/>
      <c r="AV262"/>
    </row>
    <row r="263" spans="1:48" x14ac:dyDescent="0.25">
      <c r="A263" t="str">
        <f t="shared" ca="1" si="9"/>
        <v/>
      </c>
      <c r="B263" t="str">
        <f t="shared" ca="1" si="8"/>
        <v/>
      </c>
      <c r="C263" s="79">
        <f>IF('Material+Limits'!$P$6=TRUE,1,0)</f>
        <v>0</v>
      </c>
      <c r="D263" s="39">
        <f>IF(Daten!$O263+Daten!$P263+Daten!$R263=3,1,0)</f>
        <v>0</v>
      </c>
      <c r="E263" s="184">
        <f ca="1">IF(AND('Material+Limits'!$Q$21=TRUE,Daten!N263=1)=TRUE,1,0)</f>
        <v>1</v>
      </c>
      <c r="F263" s="185">
        <f ca="1">IF(AND('Material+Limits'!$Q$25=TRUE,Daten!M263=1)=TRUE,1,0)</f>
        <v>0</v>
      </c>
      <c r="G263" s="185">
        <f ca="1">IF(AND('Material+Limits'!$Q$24=TRUE,Daten!L263=1)=TRUE,1,0)</f>
        <v>0</v>
      </c>
      <c r="H263" s="185">
        <f ca="1">IF(AND('Material+Limits'!$Q$23=TRUE,Daten!K263=1)=TRUE,1,0)</f>
        <v>0</v>
      </c>
      <c r="I263" s="185">
        <f ca="1">IF(AND('Material+Limits'!$Q$22=TRUE,Daten!J263=1)=TRUE,1,0)</f>
        <v>0</v>
      </c>
      <c r="J263" s="155">
        <f ca="1">IF(Daten!$U263=13,1,0)</f>
        <v>0</v>
      </c>
      <c r="K263" s="156">
        <f ca="1">IF(Daten!$U263&lt;&gt;Daten!$V263,1,IF(Daten!$U263=14,1,0))</f>
        <v>0</v>
      </c>
      <c r="L263" s="156">
        <f ca="1">IF(Daten!$U263&lt;&gt;Daten!$V263,1,IF(Daten!$U263=16,1,0))</f>
        <v>0</v>
      </c>
      <c r="M263" s="156">
        <f ca="1">IF(Daten!$V263=17,1,0)</f>
        <v>0</v>
      </c>
      <c r="N263" s="157">
        <f ca="1">IF(Daten!$W263=Sprache!$A$60,1,0)</f>
        <v>1</v>
      </c>
      <c r="O263" s="169">
        <f>IF(AND(Daten!$AK263&lt;=KINVARO!$AW$3,Daten!$AL263&gt;=KINVARO!$AW$3)=TRUE,1,0)</f>
        <v>1</v>
      </c>
      <c r="P263" s="170">
        <f>IF(AND(Daten!$Z263&lt;=KINVARO!$AW$4,Daten!$AA263&gt;=KINVARO!$AW$4)=TRUE,1,0)</f>
        <v>0</v>
      </c>
      <c r="R263" s="170">
        <f>IF(AND(Daten!$AC263&lt;='Material+Limits'!$I$58,Daten!$AD263&gt;='Material+Limits'!$I$58)=TRUE,1,0)</f>
        <v>1</v>
      </c>
      <c r="S263" s="29">
        <f ca="1">IF(Daten!$X263=Sprache!$A$125,1,0)</f>
        <v>1</v>
      </c>
      <c r="T263" s="28" t="str">
        <f ca="1">Sprache!$A$58</f>
        <v>Podnośnik T-65</v>
      </c>
      <c r="U263" s="32">
        <f ca="1">Sprache!$A$64</f>
        <v>0</v>
      </c>
      <c r="V263" s="29">
        <f ca="1">Sprache!$A$64</f>
        <v>0</v>
      </c>
      <c r="W263" s="30" t="str">
        <f ca="1">Sprache!$A$60</f>
        <v>Front lity (drewno/płyta)</v>
      </c>
      <c r="X263" s="30">
        <f ca="1">Sprache!$A$126</f>
        <v>0</v>
      </c>
      <c r="Y263" s="30" t="str">
        <f ca="1">Sprache!$A$69</f>
        <v>Front</v>
      </c>
      <c r="Z263" s="30">
        <v>300</v>
      </c>
      <c r="AA263" s="28">
        <v>349</v>
      </c>
      <c r="AB263" s="30"/>
      <c r="AC263" s="31">
        <v>2</v>
      </c>
      <c r="AD263" s="53">
        <v>6.3</v>
      </c>
      <c r="AE263" s="30" t="s">
        <v>809</v>
      </c>
      <c r="AF263" s="30" t="str">
        <f ca="1">Sprache!$A$101</f>
        <v>Zestaw (prawy+lewy)</v>
      </c>
      <c r="AG263" s="30" t="s">
        <v>26</v>
      </c>
      <c r="AH263" s="30" t="str">
        <f ca="1">Sprache!$A$121</f>
        <v>Sprężyna czarna dwustronnie</v>
      </c>
      <c r="AI263" s="30" t="s">
        <v>26</v>
      </c>
      <c r="AJ263" s="30" t="s">
        <v>26</v>
      </c>
      <c r="AK263" s="30">
        <f>'Material+Limits'!$K$9</f>
        <v>200</v>
      </c>
      <c r="AL263" s="28">
        <v>1200</v>
      </c>
      <c r="AM263" s="30"/>
      <c r="AN263" s="28"/>
      <c r="AO263"/>
      <c r="AR263"/>
      <c r="AS263"/>
      <c r="AT263"/>
      <c r="AU263"/>
      <c r="AV263"/>
    </row>
    <row r="264" spans="1:48" x14ac:dyDescent="0.25">
      <c r="A264" t="str">
        <f t="shared" ca="1" si="9"/>
        <v/>
      </c>
      <c r="B264" t="str">
        <f t="shared" ca="1" si="8"/>
        <v/>
      </c>
      <c r="C264" s="79">
        <f>IF('Material+Limits'!$P$6=TRUE,1,0)</f>
        <v>0</v>
      </c>
      <c r="D264" s="39">
        <f>IF(Daten!$O264+Daten!$P264+Daten!$R264=3,1,0)</f>
        <v>0</v>
      </c>
      <c r="E264" s="184">
        <f ca="1">IF(AND('Material+Limits'!$Q$21=TRUE,Daten!N264=1)=TRUE,1,0)</f>
        <v>0</v>
      </c>
      <c r="F264" s="185">
        <f>IF(AND('Material+Limits'!$Q$25=TRUE,Daten!M264=1)=TRUE,1,0)</f>
        <v>0</v>
      </c>
      <c r="G264" s="185">
        <f>IF(AND('Material+Limits'!$Q$24=TRUE,Daten!L264=1)=TRUE,1,0)</f>
        <v>0</v>
      </c>
      <c r="H264" s="185">
        <f>IF(AND('Material+Limits'!$Q$23=TRUE,Daten!K264=1)=TRUE,1,0)</f>
        <v>0</v>
      </c>
      <c r="I264" s="185">
        <f>IF(AND('Material+Limits'!$Q$22=TRUE,Daten!J264=1)=TRUE,1,0)</f>
        <v>0</v>
      </c>
      <c r="J264" s="158">
        <f>IF(Daten!$U264=13,1,0)</f>
        <v>1</v>
      </c>
      <c r="K264" s="159">
        <f>IF(Daten!$U264&lt;&gt;Daten!$V264,1,IF(Daten!$U264=14,1,0))</f>
        <v>0</v>
      </c>
      <c r="L264" s="159">
        <f>IF(Daten!$U264&lt;&gt;Daten!$V264,1,IF(Daten!$U264=16,1,0))</f>
        <v>0</v>
      </c>
      <c r="M264" s="159">
        <f>IF(Daten!$V264=17,1,0)</f>
        <v>0</v>
      </c>
      <c r="N264" s="160">
        <f ca="1">IF(Daten!$W264=Sprache!$A$60,1,0)</f>
        <v>0</v>
      </c>
      <c r="O264" s="171">
        <f>IF(AND(Daten!$AK264&lt;=KINVARO!$AW$3,Daten!$AL264&gt;=KINVARO!$AW$3)=TRUE,1,0)</f>
        <v>1</v>
      </c>
      <c r="P264" s="172">
        <f>IF(AND(Daten!$Z264&lt;=KINVARO!$AW$4,Daten!$AA264&gt;=KINVARO!$AW$4)=TRUE,1,0)</f>
        <v>0</v>
      </c>
      <c r="Q264" s="172"/>
      <c r="R264" s="172">
        <f>IF(AND(Daten!$AC264&lt;='Material+Limits'!$I$58,Daten!$AD264&gt;='Material+Limits'!$I$58)=TRUE,1,0)</f>
        <v>0</v>
      </c>
      <c r="S264" s="23">
        <f ca="1">IF(Daten!$X264=Sprache!$A$125,1,0)</f>
        <v>1</v>
      </c>
      <c r="T264" s="24" t="str">
        <f ca="1">Sprache!$A$58</f>
        <v>Podnośnik T-65</v>
      </c>
      <c r="U264" s="27">
        <v>13</v>
      </c>
      <c r="V264" s="23">
        <v>13</v>
      </c>
      <c r="W264" s="25">
        <f ca="1">Sprache!$A$131</f>
        <v>0</v>
      </c>
      <c r="X264" s="25">
        <f ca="1">Sprache!$A$126</f>
        <v>0</v>
      </c>
      <c r="Y264" s="25" t="str">
        <f ca="1">Sprache!$A$69</f>
        <v>Front</v>
      </c>
      <c r="Z264" s="25">
        <v>300</v>
      </c>
      <c r="AA264" s="24">
        <v>349</v>
      </c>
      <c r="AB264" s="25"/>
      <c r="AC264" s="26">
        <v>0.7</v>
      </c>
      <c r="AD264" s="54">
        <v>1.7</v>
      </c>
      <c r="AE264" s="25" t="s">
        <v>810</v>
      </c>
      <c r="AF264" s="25" t="str">
        <f ca="1">Sprache!$A$101</f>
        <v>Zestaw (prawy+lewy)</v>
      </c>
      <c r="AG264" s="25" t="s">
        <v>26</v>
      </c>
      <c r="AH264" s="25" t="str">
        <f ca="1">Sprache!$A$119</f>
        <v>Sprężyna żółta jednostronnie</v>
      </c>
      <c r="AI264" s="25" t="s">
        <v>26</v>
      </c>
      <c r="AJ264" s="25" t="s">
        <v>26</v>
      </c>
      <c r="AK264" s="25">
        <f>'Material+Limits'!$K$9</f>
        <v>200</v>
      </c>
      <c r="AL264" s="24">
        <v>1200</v>
      </c>
      <c r="AM264" s="30"/>
      <c r="AN264" s="24"/>
      <c r="AO264"/>
      <c r="AR264"/>
      <c r="AS264"/>
      <c r="AT264"/>
      <c r="AU264"/>
      <c r="AV264"/>
    </row>
    <row r="265" spans="1:48" x14ac:dyDescent="0.25">
      <c r="A265" t="str">
        <f t="shared" ca="1" si="9"/>
        <v/>
      </c>
      <c r="B265" t="str">
        <f t="shared" ca="1" si="8"/>
        <v/>
      </c>
      <c r="C265" s="79">
        <f>IF('Material+Limits'!$P$6=TRUE,1,0)</f>
        <v>0</v>
      </c>
      <c r="D265" s="39">
        <f>IF(Daten!$O265+Daten!$P265+Daten!$R265=3,1,0)</f>
        <v>0</v>
      </c>
      <c r="E265" s="184">
        <f ca="1">IF(AND('Material+Limits'!$Q$21=TRUE,Daten!N265=1)=TRUE,1,0)</f>
        <v>0</v>
      </c>
      <c r="F265" s="185">
        <f>IF(AND('Material+Limits'!$Q$25=TRUE,Daten!M265=1)=TRUE,1,0)</f>
        <v>0</v>
      </c>
      <c r="G265" s="185">
        <f>IF(AND('Material+Limits'!$Q$24=TRUE,Daten!L265=1)=TRUE,1,0)</f>
        <v>0</v>
      </c>
      <c r="H265" s="185">
        <f>IF(AND('Material+Limits'!$Q$23=TRUE,Daten!K265=1)=TRUE,1,0)</f>
        <v>0</v>
      </c>
      <c r="I265" s="185">
        <f>IF(AND('Material+Limits'!$Q$22=TRUE,Daten!J265=1)=TRUE,1,0)</f>
        <v>0</v>
      </c>
      <c r="J265" s="155">
        <f>IF(Daten!$U265=13,1,0)</f>
        <v>1</v>
      </c>
      <c r="K265" s="156">
        <f>IF(Daten!$U265&lt;&gt;Daten!$V265,1,IF(Daten!$U265=14,1,0))</f>
        <v>0</v>
      </c>
      <c r="L265" s="156">
        <f>IF(Daten!$U265&lt;&gt;Daten!$V265,1,IF(Daten!$U265=16,1,0))</f>
        <v>0</v>
      </c>
      <c r="M265" s="156">
        <f>IF(Daten!$V265=17,1,0)</f>
        <v>0</v>
      </c>
      <c r="N265" s="157">
        <f ca="1">IF(Daten!$W265=Sprache!$A$60,1,0)</f>
        <v>0</v>
      </c>
      <c r="O265" s="169">
        <f>IF(AND(Daten!$AK265&lt;=KINVARO!$AW$3,Daten!$AL265&gt;=KINVARO!$AW$3)=TRUE,1,0)</f>
        <v>1</v>
      </c>
      <c r="P265" s="170">
        <f>IF(AND(Daten!$Z265&lt;=KINVARO!$AW$4,Daten!$AA265&gt;=KINVARO!$AW$4)=TRUE,1,0)</f>
        <v>0</v>
      </c>
      <c r="R265" s="170">
        <f>IF(AND(Daten!$AC265&lt;='Material+Limits'!$I$58,Daten!$AD265&gt;='Material+Limits'!$I$58)=TRUE,1,0)</f>
        <v>0</v>
      </c>
      <c r="S265" s="29">
        <f ca="1">IF(Daten!$X265=Sprache!$A$125,1,0)</f>
        <v>1</v>
      </c>
      <c r="T265" s="28" t="str">
        <f ca="1">Sprache!$A$58</f>
        <v>Podnośnik T-65</v>
      </c>
      <c r="U265" s="32">
        <v>13</v>
      </c>
      <c r="V265" s="29">
        <v>13</v>
      </c>
      <c r="W265" s="30">
        <f ca="1">Sprache!$A$131</f>
        <v>0</v>
      </c>
      <c r="X265" s="30">
        <f ca="1">Sprache!$A$126</f>
        <v>0</v>
      </c>
      <c r="Y265" s="30" t="str">
        <f ca="1">Sprache!$A$69</f>
        <v>Front</v>
      </c>
      <c r="Z265" s="30">
        <v>300</v>
      </c>
      <c r="AA265" s="28">
        <v>349</v>
      </c>
      <c r="AB265" s="30"/>
      <c r="AC265" s="31">
        <v>1.4</v>
      </c>
      <c r="AD265" s="53">
        <v>3.4</v>
      </c>
      <c r="AE265" s="30" t="s">
        <v>810</v>
      </c>
      <c r="AF265" s="30" t="str">
        <f ca="1">Sprache!$A$101</f>
        <v>Zestaw (prawy+lewy)</v>
      </c>
      <c r="AG265" s="30" t="s">
        <v>26</v>
      </c>
      <c r="AH265" s="30" t="str">
        <f ca="1">Sprache!$A$120</f>
        <v>Sprężyna żółta dwustronnie</v>
      </c>
      <c r="AI265" s="30" t="s">
        <v>26</v>
      </c>
      <c r="AJ265" s="30" t="s">
        <v>26</v>
      </c>
      <c r="AK265" s="30">
        <f>'Material+Limits'!$K$9</f>
        <v>200</v>
      </c>
      <c r="AL265" s="28">
        <v>1200</v>
      </c>
      <c r="AM265" s="30"/>
      <c r="AN265" s="28"/>
      <c r="AO265"/>
      <c r="AR265"/>
      <c r="AS265"/>
      <c r="AT265"/>
      <c r="AU265"/>
      <c r="AV265"/>
    </row>
    <row r="266" spans="1:48" x14ac:dyDescent="0.25">
      <c r="A266" t="str">
        <f t="shared" ca="1" si="9"/>
        <v/>
      </c>
      <c r="B266" t="str">
        <f t="shared" ca="1" si="8"/>
        <v/>
      </c>
      <c r="C266" s="79">
        <f>IF('Material+Limits'!$P$6=TRUE,1,0)</f>
        <v>0</v>
      </c>
      <c r="D266" s="39">
        <f>IF(Daten!$O266+Daten!$P266+Daten!$R266=3,1,0)</f>
        <v>0</v>
      </c>
      <c r="E266" s="184">
        <f ca="1">IF(AND('Material+Limits'!$Q$21=TRUE,Daten!N266=1)=TRUE,1,0)</f>
        <v>0</v>
      </c>
      <c r="F266" s="185">
        <f>IF(AND('Material+Limits'!$Q$25=TRUE,Daten!M266=1)=TRUE,1,0)</f>
        <v>0</v>
      </c>
      <c r="G266" s="185">
        <f>IF(AND('Material+Limits'!$Q$24=TRUE,Daten!L266=1)=TRUE,1,0)</f>
        <v>0</v>
      </c>
      <c r="H266" s="185">
        <f>IF(AND('Material+Limits'!$Q$23=TRUE,Daten!K266=1)=TRUE,1,0)</f>
        <v>0</v>
      </c>
      <c r="I266" s="185">
        <f>IF(AND('Material+Limits'!$Q$22=TRUE,Daten!J266=1)=TRUE,1,0)</f>
        <v>0</v>
      </c>
      <c r="J266" s="158">
        <f>IF(Daten!$U266=13,1,0)</f>
        <v>1</v>
      </c>
      <c r="K266" s="159">
        <f>IF(Daten!$U266&lt;&gt;Daten!$V266,1,IF(Daten!$U266=14,1,0))</f>
        <v>0</v>
      </c>
      <c r="L266" s="159">
        <f>IF(Daten!$U266&lt;&gt;Daten!$V266,1,IF(Daten!$U266=16,1,0))</f>
        <v>0</v>
      </c>
      <c r="M266" s="159">
        <f>IF(Daten!$V266=17,1,0)</f>
        <v>0</v>
      </c>
      <c r="N266" s="160">
        <f ca="1">IF(Daten!$W266=Sprache!$A$60,1,0)</f>
        <v>0</v>
      </c>
      <c r="O266" s="171">
        <f>IF(AND(Daten!$AK266&lt;=KINVARO!$AW$3,Daten!$AL266&gt;=KINVARO!$AW$3)=TRUE,1,0)</f>
        <v>1</v>
      </c>
      <c r="P266" s="172">
        <f>IF(AND(Daten!$Z266&lt;=KINVARO!$AW$4,Daten!$AA266&gt;=KINVARO!$AW$4)=TRUE,1,0)</f>
        <v>0</v>
      </c>
      <c r="Q266" s="172"/>
      <c r="R266" s="172">
        <f>IF(AND(Daten!$AC266&lt;='Material+Limits'!$I$58,Daten!$AD266&gt;='Material+Limits'!$I$58)=TRUE,1,0)</f>
        <v>1</v>
      </c>
      <c r="S266" s="23">
        <f ca="1">IF(Daten!$X266=Sprache!$A$125,1,0)</f>
        <v>1</v>
      </c>
      <c r="T266" s="24" t="str">
        <f ca="1">Sprache!$A$58</f>
        <v>Podnośnik T-65</v>
      </c>
      <c r="U266" s="27">
        <v>13</v>
      </c>
      <c r="V266" s="23">
        <v>13</v>
      </c>
      <c r="W266" s="25">
        <f ca="1">Sprache!$A$131</f>
        <v>0</v>
      </c>
      <c r="X266" s="25">
        <f ca="1">Sprache!$A$126</f>
        <v>0</v>
      </c>
      <c r="Y266" s="25" t="str">
        <f ca="1">Sprache!$A$69</f>
        <v>Front</v>
      </c>
      <c r="Z266" s="25">
        <v>300</v>
      </c>
      <c r="AA266" s="24">
        <v>349</v>
      </c>
      <c r="AB266" s="25"/>
      <c r="AC266" s="26">
        <v>2</v>
      </c>
      <c r="AD266" s="54">
        <v>6.3</v>
      </c>
      <c r="AE266" s="25" t="s">
        <v>810</v>
      </c>
      <c r="AF266" s="25" t="str">
        <f ca="1">Sprache!$A$101</f>
        <v>Zestaw (prawy+lewy)</v>
      </c>
      <c r="AG266" s="25" t="s">
        <v>26</v>
      </c>
      <c r="AH266" s="25" t="str">
        <f ca="1">Sprache!$A$121</f>
        <v>Sprężyna czarna dwustronnie</v>
      </c>
      <c r="AI266" s="25" t="s">
        <v>26</v>
      </c>
      <c r="AJ266" s="25" t="s">
        <v>26</v>
      </c>
      <c r="AK266" s="25">
        <f>'Material+Limits'!$K$9</f>
        <v>200</v>
      </c>
      <c r="AL266" s="24">
        <v>1200</v>
      </c>
      <c r="AM266" s="30"/>
      <c r="AN266" s="24"/>
      <c r="AO266"/>
      <c r="AR266"/>
      <c r="AS266"/>
      <c r="AT266"/>
      <c r="AU266"/>
      <c r="AV266"/>
    </row>
    <row r="267" spans="1:48" x14ac:dyDescent="0.25">
      <c r="A267" t="str">
        <f t="shared" ca="1" si="9"/>
        <v/>
      </c>
      <c r="B267" t="str">
        <f t="shared" ca="1" si="8"/>
        <v/>
      </c>
      <c r="C267" s="79">
        <f>IF('Material+Limits'!$P$6=TRUE,1,0)</f>
        <v>0</v>
      </c>
      <c r="D267" s="39">
        <f>IF(Daten!$O267+Daten!$P267+Daten!$R267=3,1,0)</f>
        <v>0</v>
      </c>
      <c r="E267" s="184">
        <f ca="1">IF(AND('Material+Limits'!$Q$21=TRUE,Daten!N267=1)=TRUE,1,0)</f>
        <v>0</v>
      </c>
      <c r="F267" s="185">
        <f>IF(AND('Material+Limits'!$Q$25=TRUE,Daten!M267=1)=TRUE,1,0)</f>
        <v>0</v>
      </c>
      <c r="G267" s="185">
        <f>IF(AND('Material+Limits'!$Q$24=TRUE,Daten!L267=1)=TRUE,1,0)</f>
        <v>0</v>
      </c>
      <c r="H267" s="185">
        <f>IF(AND('Material+Limits'!$Q$23=TRUE,Daten!K267=1)=TRUE,1,0)</f>
        <v>0</v>
      </c>
      <c r="I267" s="185">
        <f>IF(AND('Material+Limits'!$Q$22=TRUE,Daten!J267=1)=TRUE,1,0)</f>
        <v>0</v>
      </c>
      <c r="J267" s="155">
        <f>IF(Daten!$U267=13,1,0)</f>
        <v>0</v>
      </c>
      <c r="K267" s="156">
        <f>IF(Daten!$U267&lt;&gt;Daten!$V267,1,IF(Daten!$U267=14,1,0))</f>
        <v>1</v>
      </c>
      <c r="L267" s="156">
        <f>IF(Daten!$U267&lt;&gt;Daten!$V267,1,IF(Daten!$U267=16,1,0))</f>
        <v>0</v>
      </c>
      <c r="M267" s="156">
        <f>IF(Daten!$V267=17,1,0)</f>
        <v>0</v>
      </c>
      <c r="N267" s="157">
        <f ca="1">IF(Daten!$W267=Sprache!$A$60,1,0)</f>
        <v>0</v>
      </c>
      <c r="O267" s="169">
        <f>IF(AND(Daten!$AK267&lt;=KINVARO!$AW$3,Daten!$AL267&gt;=KINVARO!$AW$3)=TRUE,1,0)</f>
        <v>1</v>
      </c>
      <c r="P267" s="170">
        <f>IF(AND(Daten!$Z267&lt;=KINVARO!$AW$4,Daten!$AA267&gt;=KINVARO!$AW$4)=TRUE,1,0)</f>
        <v>0</v>
      </c>
      <c r="R267" s="170">
        <f>IF(AND(Daten!$AC267&lt;='Material+Limits'!$I$58,Daten!$AD267&gt;='Material+Limits'!$I$58)=TRUE,1,0)</f>
        <v>0</v>
      </c>
      <c r="S267" s="29">
        <f ca="1">IF(Daten!$X267=Sprache!$A$125,1,0)</f>
        <v>1</v>
      </c>
      <c r="T267" s="28" t="str">
        <f ca="1">Sprache!$A$58</f>
        <v>Podnośnik T-65</v>
      </c>
      <c r="U267" s="32">
        <v>14</v>
      </c>
      <c r="V267" s="29">
        <v>14</v>
      </c>
      <c r="W267" s="30">
        <f ca="1">Sprache!$A$131</f>
        <v>0</v>
      </c>
      <c r="X267" s="30">
        <f ca="1">Sprache!$A$126</f>
        <v>0</v>
      </c>
      <c r="Y267" s="30" t="str">
        <f ca="1">Sprache!$A$69</f>
        <v>Front</v>
      </c>
      <c r="Z267" s="30">
        <v>300</v>
      </c>
      <c r="AA267" s="28">
        <v>349</v>
      </c>
      <c r="AB267" s="30"/>
      <c r="AC267" s="31">
        <v>0.7</v>
      </c>
      <c r="AD267" s="53">
        <v>1.7</v>
      </c>
      <c r="AE267" s="30" t="s">
        <v>811</v>
      </c>
      <c r="AF267" s="30" t="str">
        <f ca="1">Sprache!$A$101</f>
        <v>Zestaw (prawy+lewy)</v>
      </c>
      <c r="AG267" s="30" t="s">
        <v>26</v>
      </c>
      <c r="AH267" s="30" t="str">
        <f ca="1">Sprache!$A$119</f>
        <v>Sprężyna żółta jednostronnie</v>
      </c>
      <c r="AI267" s="30" t="s">
        <v>26</v>
      </c>
      <c r="AJ267" s="30" t="s">
        <v>26</v>
      </c>
      <c r="AK267" s="30">
        <f>'Material+Limits'!$K$9</f>
        <v>200</v>
      </c>
      <c r="AL267" s="28">
        <v>1200</v>
      </c>
      <c r="AM267" s="30"/>
      <c r="AN267" s="28"/>
      <c r="AO267"/>
      <c r="AR267"/>
      <c r="AS267"/>
      <c r="AT267"/>
      <c r="AU267"/>
      <c r="AV267"/>
    </row>
    <row r="268" spans="1:48" x14ac:dyDescent="0.25">
      <c r="A268" t="str">
        <f t="shared" ca="1" si="9"/>
        <v/>
      </c>
      <c r="B268" t="str">
        <f t="shared" ca="1" si="8"/>
        <v/>
      </c>
      <c r="C268" s="79">
        <f>IF('Material+Limits'!$P$6=TRUE,1,0)</f>
        <v>0</v>
      </c>
      <c r="D268" s="39">
        <f>IF(Daten!$O268+Daten!$P268+Daten!$R268=3,1,0)</f>
        <v>0</v>
      </c>
      <c r="E268" s="184">
        <f ca="1">IF(AND('Material+Limits'!$Q$21=TRUE,Daten!N268=1)=TRUE,1,0)</f>
        <v>0</v>
      </c>
      <c r="F268" s="185">
        <f>IF(AND('Material+Limits'!$Q$25=TRUE,Daten!M268=1)=TRUE,1,0)</f>
        <v>0</v>
      </c>
      <c r="G268" s="185">
        <f>IF(AND('Material+Limits'!$Q$24=TRUE,Daten!L268=1)=TRUE,1,0)</f>
        <v>0</v>
      </c>
      <c r="H268" s="185">
        <f>IF(AND('Material+Limits'!$Q$23=TRUE,Daten!K268=1)=TRUE,1,0)</f>
        <v>0</v>
      </c>
      <c r="I268" s="185">
        <f>IF(AND('Material+Limits'!$Q$22=TRUE,Daten!J268=1)=TRUE,1,0)</f>
        <v>0</v>
      </c>
      <c r="J268" s="158">
        <f>IF(Daten!$U268=13,1,0)</f>
        <v>0</v>
      </c>
      <c r="K268" s="159">
        <f>IF(Daten!$U268&lt;&gt;Daten!$V268,1,IF(Daten!$U268=14,1,0))</f>
        <v>1</v>
      </c>
      <c r="L268" s="159">
        <f>IF(Daten!$U268&lt;&gt;Daten!$V268,1,IF(Daten!$U268=16,1,0))</f>
        <v>0</v>
      </c>
      <c r="M268" s="159">
        <f>IF(Daten!$V268=17,1,0)</f>
        <v>0</v>
      </c>
      <c r="N268" s="160">
        <f ca="1">IF(Daten!$W268=Sprache!$A$60,1,0)</f>
        <v>0</v>
      </c>
      <c r="O268" s="171">
        <f>IF(AND(Daten!$AK268&lt;=KINVARO!$AW$3,Daten!$AL268&gt;=KINVARO!$AW$3)=TRUE,1,0)</f>
        <v>1</v>
      </c>
      <c r="P268" s="172">
        <f>IF(AND(Daten!$Z268&lt;=KINVARO!$AW$4,Daten!$AA268&gt;=KINVARO!$AW$4)=TRUE,1,0)</f>
        <v>0</v>
      </c>
      <c r="Q268" s="172"/>
      <c r="R268" s="172">
        <f>IF(AND(Daten!$AC268&lt;='Material+Limits'!$I$58,Daten!$AD268&gt;='Material+Limits'!$I$58)=TRUE,1,0)</f>
        <v>0</v>
      </c>
      <c r="S268" s="23">
        <f ca="1">IF(Daten!$X268=Sprache!$A$125,1,0)</f>
        <v>1</v>
      </c>
      <c r="T268" s="24" t="str">
        <f ca="1">Sprache!$A$58</f>
        <v>Podnośnik T-65</v>
      </c>
      <c r="U268" s="27">
        <v>14</v>
      </c>
      <c r="V268" s="23">
        <v>14</v>
      </c>
      <c r="W268" s="25">
        <f ca="1">Sprache!$A$131</f>
        <v>0</v>
      </c>
      <c r="X268" s="25">
        <f ca="1">Sprache!$A$126</f>
        <v>0</v>
      </c>
      <c r="Y268" s="25" t="str">
        <f ca="1">Sprache!$A$69</f>
        <v>Front</v>
      </c>
      <c r="Z268" s="25">
        <v>300</v>
      </c>
      <c r="AA268" s="24">
        <v>349</v>
      </c>
      <c r="AB268" s="25"/>
      <c r="AC268" s="26">
        <v>1.4</v>
      </c>
      <c r="AD268" s="54">
        <v>3.4</v>
      </c>
      <c r="AE268" s="25" t="s">
        <v>811</v>
      </c>
      <c r="AF268" s="25" t="str">
        <f ca="1">Sprache!$A$101</f>
        <v>Zestaw (prawy+lewy)</v>
      </c>
      <c r="AG268" s="25" t="s">
        <v>26</v>
      </c>
      <c r="AH268" s="25" t="str">
        <f ca="1">Sprache!$A$120</f>
        <v>Sprężyna żółta dwustronnie</v>
      </c>
      <c r="AI268" s="25" t="s">
        <v>26</v>
      </c>
      <c r="AJ268" s="25" t="s">
        <v>26</v>
      </c>
      <c r="AK268" s="25">
        <f>'Material+Limits'!$K$9</f>
        <v>200</v>
      </c>
      <c r="AL268" s="24">
        <v>1200</v>
      </c>
      <c r="AM268" s="30"/>
      <c r="AN268" s="24"/>
      <c r="AO268"/>
      <c r="AR268"/>
      <c r="AS268"/>
      <c r="AT268"/>
      <c r="AU268"/>
      <c r="AV268"/>
    </row>
    <row r="269" spans="1:48" x14ac:dyDescent="0.25">
      <c r="A269" t="str">
        <f t="shared" ca="1" si="9"/>
        <v/>
      </c>
      <c r="B269" t="str">
        <f t="shared" ca="1" si="8"/>
        <v/>
      </c>
      <c r="C269" s="79">
        <f>IF('Material+Limits'!$P$6=TRUE,1,0)</f>
        <v>0</v>
      </c>
      <c r="D269" s="39">
        <f>IF(Daten!$O269+Daten!$P269+Daten!$R269=3,1,0)</f>
        <v>0</v>
      </c>
      <c r="E269" s="184">
        <f ca="1">IF(AND('Material+Limits'!$Q$21=TRUE,Daten!N269=1)=TRUE,1,0)</f>
        <v>0</v>
      </c>
      <c r="F269" s="185">
        <f>IF(AND('Material+Limits'!$Q$25=TRUE,Daten!M269=1)=TRUE,1,0)</f>
        <v>0</v>
      </c>
      <c r="G269" s="185">
        <f>IF(AND('Material+Limits'!$Q$24=TRUE,Daten!L269=1)=TRUE,1,0)</f>
        <v>0</v>
      </c>
      <c r="H269" s="185">
        <f>IF(AND('Material+Limits'!$Q$23=TRUE,Daten!K269=1)=TRUE,1,0)</f>
        <v>0</v>
      </c>
      <c r="I269" s="185">
        <f>IF(AND('Material+Limits'!$Q$22=TRUE,Daten!J269=1)=TRUE,1,0)</f>
        <v>0</v>
      </c>
      <c r="J269" s="155">
        <f>IF(Daten!$U269=13,1,0)</f>
        <v>0</v>
      </c>
      <c r="K269" s="156">
        <f>IF(Daten!$U269&lt;&gt;Daten!$V269,1,IF(Daten!$U269=14,1,0))</f>
        <v>1</v>
      </c>
      <c r="L269" s="156">
        <f>IF(Daten!$U269&lt;&gt;Daten!$V269,1,IF(Daten!$U269=16,1,0))</f>
        <v>0</v>
      </c>
      <c r="M269" s="156">
        <f>IF(Daten!$V269=17,1,0)</f>
        <v>0</v>
      </c>
      <c r="N269" s="157">
        <f ca="1">IF(Daten!$W269=Sprache!$A$60,1,0)</f>
        <v>0</v>
      </c>
      <c r="O269" s="169">
        <f>IF(AND(Daten!$AK269&lt;=KINVARO!$AW$3,Daten!$AL269&gt;=KINVARO!$AW$3)=TRUE,1,0)</f>
        <v>1</v>
      </c>
      <c r="P269" s="170">
        <f>IF(AND(Daten!$Z269&lt;=KINVARO!$AW$4,Daten!$AA269&gt;=KINVARO!$AW$4)=TRUE,1,0)</f>
        <v>0</v>
      </c>
      <c r="R269" s="170">
        <f>IF(AND(Daten!$AC269&lt;='Material+Limits'!$I$58,Daten!$AD269&gt;='Material+Limits'!$I$58)=TRUE,1,0)</f>
        <v>1</v>
      </c>
      <c r="S269" s="29">
        <f ca="1">IF(Daten!$X269=Sprache!$A$125,1,0)</f>
        <v>1</v>
      </c>
      <c r="T269" s="28" t="str">
        <f ca="1">Sprache!$A$58</f>
        <v>Podnośnik T-65</v>
      </c>
      <c r="U269" s="32">
        <v>14</v>
      </c>
      <c r="V269" s="29">
        <v>14</v>
      </c>
      <c r="W269" s="30">
        <f ca="1">Sprache!$A$131</f>
        <v>0</v>
      </c>
      <c r="X269" s="30">
        <f ca="1">Sprache!$A$126</f>
        <v>0</v>
      </c>
      <c r="Y269" s="30" t="str">
        <f ca="1">Sprache!$A$69</f>
        <v>Front</v>
      </c>
      <c r="Z269" s="30">
        <v>300</v>
      </c>
      <c r="AA269" s="28">
        <v>349</v>
      </c>
      <c r="AB269" s="30"/>
      <c r="AC269" s="31">
        <v>2</v>
      </c>
      <c r="AD269" s="53">
        <v>6.3</v>
      </c>
      <c r="AE269" s="30" t="s">
        <v>811</v>
      </c>
      <c r="AF269" s="30" t="str">
        <f ca="1">Sprache!$A$101</f>
        <v>Zestaw (prawy+lewy)</v>
      </c>
      <c r="AG269" s="30" t="s">
        <v>26</v>
      </c>
      <c r="AH269" s="30" t="str">
        <f ca="1">Sprache!$A$121</f>
        <v>Sprężyna czarna dwustronnie</v>
      </c>
      <c r="AI269" s="30" t="s">
        <v>26</v>
      </c>
      <c r="AJ269" s="30" t="s">
        <v>26</v>
      </c>
      <c r="AK269" s="30">
        <f>'Material+Limits'!$K$9</f>
        <v>200</v>
      </c>
      <c r="AL269" s="28">
        <v>1200</v>
      </c>
      <c r="AM269" s="30"/>
      <c r="AN269" s="28"/>
      <c r="AO269"/>
      <c r="AR269"/>
      <c r="AS269"/>
      <c r="AT269"/>
      <c r="AU269"/>
      <c r="AV269"/>
    </row>
    <row r="270" spans="1:48" x14ac:dyDescent="0.25">
      <c r="A270" t="str">
        <f t="shared" ca="1" si="9"/>
        <v/>
      </c>
      <c r="B270" t="str">
        <f t="shared" ca="1" si="8"/>
        <v/>
      </c>
      <c r="C270" s="79">
        <f>IF('Material+Limits'!$P$6=TRUE,1,0)</f>
        <v>0</v>
      </c>
      <c r="D270" s="39">
        <f>IF(Daten!$O270+Daten!$P270+Daten!$R270=3,1,0)</f>
        <v>0</v>
      </c>
      <c r="E270" s="184">
        <f ca="1">IF(AND('Material+Limits'!$Q$21=TRUE,Daten!N270=1)=TRUE,1,0)</f>
        <v>0</v>
      </c>
      <c r="F270" s="185">
        <f>IF(AND('Material+Limits'!$Q$25=TRUE,Daten!M270=1)=TRUE,1,0)</f>
        <v>0</v>
      </c>
      <c r="G270" s="185">
        <f>IF(AND('Material+Limits'!$Q$24=TRUE,Daten!L270=1)=TRUE,1,0)</f>
        <v>0</v>
      </c>
      <c r="H270" s="185">
        <f>IF(AND('Material+Limits'!$Q$23=TRUE,Daten!K270=1)=TRUE,1,0)</f>
        <v>0</v>
      </c>
      <c r="I270" s="185">
        <f>IF(AND('Material+Limits'!$Q$22=TRUE,Daten!J270=1)=TRUE,1,0)</f>
        <v>0</v>
      </c>
      <c r="J270" s="158">
        <f>IF(Daten!$U270=13,1,0)</f>
        <v>0</v>
      </c>
      <c r="K270" s="159">
        <f>IF(Daten!$U270&lt;&gt;Daten!$V270,1,IF(Daten!$U270=14,1,0))</f>
        <v>0</v>
      </c>
      <c r="L270" s="159">
        <f>IF(Daten!$U270&lt;&gt;Daten!$V270,1,IF(Daten!$U270=16,1,0))</f>
        <v>1</v>
      </c>
      <c r="M270" s="159">
        <f>IF(Daten!$V270=17,1,0)</f>
        <v>0</v>
      </c>
      <c r="N270" s="160">
        <f ca="1">IF(Daten!$W270=Sprache!$A$60,1,0)</f>
        <v>0</v>
      </c>
      <c r="O270" s="171">
        <f>IF(AND(Daten!$AK270&lt;=KINVARO!$AW$3,Daten!$AL270&gt;=KINVARO!$AW$3)=TRUE,1,0)</f>
        <v>1</v>
      </c>
      <c r="P270" s="172">
        <f>IF(AND(Daten!$Z270&lt;=KINVARO!$AW$4,Daten!$AA270&gt;=KINVARO!$AW$4)=TRUE,1,0)</f>
        <v>0</v>
      </c>
      <c r="Q270" s="172"/>
      <c r="R270" s="172">
        <f>IF(AND(Daten!$AC270&lt;='Material+Limits'!$I$58,Daten!$AD270&gt;='Material+Limits'!$I$58)=TRUE,1,0)</f>
        <v>0</v>
      </c>
      <c r="S270" s="23">
        <f ca="1">IF(Daten!$X270=Sprache!$A$125,1,0)</f>
        <v>1</v>
      </c>
      <c r="T270" s="24" t="str">
        <f ca="1">Sprache!$A$58</f>
        <v>Podnośnik T-65</v>
      </c>
      <c r="U270" s="27">
        <v>16</v>
      </c>
      <c r="V270" s="23">
        <v>16</v>
      </c>
      <c r="W270" s="25">
        <f ca="1">Sprache!$A$131</f>
        <v>0</v>
      </c>
      <c r="X270" s="25">
        <f ca="1">Sprache!$A$126</f>
        <v>0</v>
      </c>
      <c r="Y270" s="25" t="str">
        <f ca="1">Sprache!$A$69</f>
        <v>Front</v>
      </c>
      <c r="Z270" s="25">
        <v>300</v>
      </c>
      <c r="AA270" s="24">
        <v>349</v>
      </c>
      <c r="AB270" s="25"/>
      <c r="AC270" s="26">
        <v>0.7</v>
      </c>
      <c r="AD270" s="54">
        <v>1.7</v>
      </c>
      <c r="AE270" s="25" t="s">
        <v>812</v>
      </c>
      <c r="AF270" s="25" t="str">
        <f ca="1">Sprache!$A$101</f>
        <v>Zestaw (prawy+lewy)</v>
      </c>
      <c r="AG270" s="25" t="s">
        <v>26</v>
      </c>
      <c r="AH270" s="25" t="str">
        <f ca="1">Sprache!$A$119</f>
        <v>Sprężyna żółta jednostronnie</v>
      </c>
      <c r="AI270" s="25" t="s">
        <v>26</v>
      </c>
      <c r="AJ270" s="25" t="s">
        <v>26</v>
      </c>
      <c r="AK270" s="25">
        <f>'Material+Limits'!$K$9</f>
        <v>200</v>
      </c>
      <c r="AL270" s="24">
        <v>1200</v>
      </c>
      <c r="AM270" s="30"/>
      <c r="AN270" s="24"/>
      <c r="AO270"/>
      <c r="AR270"/>
      <c r="AS270"/>
      <c r="AT270"/>
      <c r="AU270"/>
      <c r="AV270"/>
    </row>
    <row r="271" spans="1:48" x14ac:dyDescent="0.25">
      <c r="A271" t="str">
        <f t="shared" ca="1" si="9"/>
        <v/>
      </c>
      <c r="B271" t="str">
        <f t="shared" ca="1" si="8"/>
        <v/>
      </c>
      <c r="C271" s="79">
        <f>IF('Material+Limits'!$P$6=TRUE,1,0)</f>
        <v>0</v>
      </c>
      <c r="D271" s="39">
        <f>IF(Daten!$O271+Daten!$P271+Daten!$R271=3,1,0)</f>
        <v>0</v>
      </c>
      <c r="E271" s="184">
        <f ca="1">IF(AND('Material+Limits'!$Q$21=TRUE,Daten!N271=1)=TRUE,1,0)</f>
        <v>0</v>
      </c>
      <c r="F271" s="185">
        <f>IF(AND('Material+Limits'!$Q$25=TRUE,Daten!M271=1)=TRUE,1,0)</f>
        <v>0</v>
      </c>
      <c r="G271" s="185">
        <f>IF(AND('Material+Limits'!$Q$24=TRUE,Daten!L271=1)=TRUE,1,0)</f>
        <v>0</v>
      </c>
      <c r="H271" s="185">
        <f>IF(AND('Material+Limits'!$Q$23=TRUE,Daten!K271=1)=TRUE,1,0)</f>
        <v>0</v>
      </c>
      <c r="I271" s="185">
        <f>IF(AND('Material+Limits'!$Q$22=TRUE,Daten!J271=1)=TRUE,1,0)</f>
        <v>0</v>
      </c>
      <c r="J271" s="155">
        <f>IF(Daten!$U271=13,1,0)</f>
        <v>0</v>
      </c>
      <c r="K271" s="156">
        <f>IF(Daten!$U271&lt;&gt;Daten!$V271,1,IF(Daten!$U271=14,1,0))</f>
        <v>0</v>
      </c>
      <c r="L271" s="156">
        <f>IF(Daten!$U271&lt;&gt;Daten!$V271,1,IF(Daten!$U271=16,1,0))</f>
        <v>1</v>
      </c>
      <c r="M271" s="156">
        <f>IF(Daten!$V271=17,1,0)</f>
        <v>0</v>
      </c>
      <c r="N271" s="157">
        <f ca="1">IF(Daten!$W271=Sprache!$A$60,1,0)</f>
        <v>0</v>
      </c>
      <c r="O271" s="169">
        <f>IF(AND(Daten!$AK271&lt;=KINVARO!$AW$3,Daten!$AL271&gt;=KINVARO!$AW$3)=TRUE,1,0)</f>
        <v>1</v>
      </c>
      <c r="P271" s="170">
        <f>IF(AND(Daten!$Z271&lt;=KINVARO!$AW$4,Daten!$AA271&gt;=KINVARO!$AW$4)=TRUE,1,0)</f>
        <v>0</v>
      </c>
      <c r="R271" s="170">
        <f>IF(AND(Daten!$AC271&lt;='Material+Limits'!$I$58,Daten!$AD271&gt;='Material+Limits'!$I$58)=TRUE,1,0)</f>
        <v>0</v>
      </c>
      <c r="S271" s="29">
        <f ca="1">IF(Daten!$X271=Sprache!$A$125,1,0)</f>
        <v>1</v>
      </c>
      <c r="T271" s="28" t="str">
        <f ca="1">Sprache!$A$58</f>
        <v>Podnośnik T-65</v>
      </c>
      <c r="U271" s="32">
        <v>16</v>
      </c>
      <c r="V271" s="29">
        <v>16</v>
      </c>
      <c r="W271" s="30">
        <f ca="1">Sprache!$A$131</f>
        <v>0</v>
      </c>
      <c r="X271" s="30">
        <f ca="1">Sprache!$A$126</f>
        <v>0</v>
      </c>
      <c r="Y271" s="30" t="str">
        <f ca="1">Sprache!$A$69</f>
        <v>Front</v>
      </c>
      <c r="Z271" s="30">
        <v>300</v>
      </c>
      <c r="AA271" s="28">
        <v>349</v>
      </c>
      <c r="AB271" s="30"/>
      <c r="AC271" s="31">
        <v>1.4</v>
      </c>
      <c r="AD271" s="53">
        <v>3.4</v>
      </c>
      <c r="AE271" s="30" t="s">
        <v>812</v>
      </c>
      <c r="AF271" s="30" t="str">
        <f ca="1">Sprache!$A$101</f>
        <v>Zestaw (prawy+lewy)</v>
      </c>
      <c r="AG271" s="30" t="s">
        <v>26</v>
      </c>
      <c r="AH271" s="30" t="str">
        <f ca="1">Sprache!$A$120</f>
        <v>Sprężyna żółta dwustronnie</v>
      </c>
      <c r="AI271" s="30" t="s">
        <v>26</v>
      </c>
      <c r="AJ271" s="30" t="s">
        <v>26</v>
      </c>
      <c r="AK271" s="30">
        <f>'Material+Limits'!$K$9</f>
        <v>200</v>
      </c>
      <c r="AL271" s="28">
        <v>1200</v>
      </c>
      <c r="AM271" s="30"/>
      <c r="AN271" s="28"/>
      <c r="AO271"/>
      <c r="AR271"/>
      <c r="AS271"/>
      <c r="AT271"/>
      <c r="AU271"/>
      <c r="AV271"/>
    </row>
    <row r="272" spans="1:48" x14ac:dyDescent="0.25">
      <c r="A272" t="str">
        <f t="shared" ca="1" si="9"/>
        <v/>
      </c>
      <c r="B272" t="str">
        <f t="shared" ca="1" si="8"/>
        <v/>
      </c>
      <c r="C272" s="79">
        <f>IF('Material+Limits'!$P$6=TRUE,1,0)</f>
        <v>0</v>
      </c>
      <c r="D272" s="39">
        <f>IF(Daten!$O272+Daten!$P272+Daten!$R272=3,1,0)</f>
        <v>0</v>
      </c>
      <c r="E272" s="184">
        <f ca="1">IF(AND('Material+Limits'!$Q$21=TRUE,Daten!N272=1)=TRUE,1,0)</f>
        <v>0</v>
      </c>
      <c r="F272" s="185">
        <f>IF(AND('Material+Limits'!$Q$25=TRUE,Daten!M272=1)=TRUE,1,0)</f>
        <v>0</v>
      </c>
      <c r="G272" s="185">
        <f>IF(AND('Material+Limits'!$Q$24=TRUE,Daten!L272=1)=TRUE,1,0)</f>
        <v>0</v>
      </c>
      <c r="H272" s="185">
        <f>IF(AND('Material+Limits'!$Q$23=TRUE,Daten!K272=1)=TRUE,1,0)</f>
        <v>0</v>
      </c>
      <c r="I272" s="185">
        <f>IF(AND('Material+Limits'!$Q$22=TRUE,Daten!J272=1)=TRUE,1,0)</f>
        <v>0</v>
      </c>
      <c r="J272" s="158">
        <f>IF(Daten!$U272=13,1,0)</f>
        <v>0</v>
      </c>
      <c r="K272" s="159">
        <f>IF(Daten!$U272&lt;&gt;Daten!$V272,1,IF(Daten!$U272=14,1,0))</f>
        <v>0</v>
      </c>
      <c r="L272" s="159">
        <f>IF(Daten!$U272&lt;&gt;Daten!$V272,1,IF(Daten!$U272=16,1,0))</f>
        <v>1</v>
      </c>
      <c r="M272" s="159">
        <f>IF(Daten!$V272=17,1,0)</f>
        <v>0</v>
      </c>
      <c r="N272" s="160">
        <f ca="1">IF(Daten!$W272=Sprache!$A$60,1,0)</f>
        <v>0</v>
      </c>
      <c r="O272" s="171">
        <f>IF(AND(Daten!$AK272&lt;=KINVARO!$AW$3,Daten!$AL272&gt;=KINVARO!$AW$3)=TRUE,1,0)</f>
        <v>1</v>
      </c>
      <c r="P272" s="172">
        <f>IF(AND(Daten!$Z272&lt;=KINVARO!$AW$4,Daten!$AA272&gt;=KINVARO!$AW$4)=TRUE,1,0)</f>
        <v>0</v>
      </c>
      <c r="Q272" s="172"/>
      <c r="R272" s="172">
        <f>IF(AND(Daten!$AC272&lt;='Material+Limits'!$I$58,Daten!$AD272&gt;='Material+Limits'!$I$58)=TRUE,1,0)</f>
        <v>1</v>
      </c>
      <c r="S272" s="23">
        <f ca="1">IF(Daten!$X272=Sprache!$A$125,1,0)</f>
        <v>1</v>
      </c>
      <c r="T272" s="24" t="str">
        <f ca="1">Sprache!$A$58</f>
        <v>Podnośnik T-65</v>
      </c>
      <c r="U272" s="27">
        <v>16</v>
      </c>
      <c r="V272" s="23">
        <v>16</v>
      </c>
      <c r="W272" s="25">
        <f ca="1">Sprache!$A$131</f>
        <v>0</v>
      </c>
      <c r="X272" s="25">
        <f ca="1">Sprache!$A$126</f>
        <v>0</v>
      </c>
      <c r="Y272" s="25" t="str">
        <f ca="1">Sprache!$A$69</f>
        <v>Front</v>
      </c>
      <c r="Z272" s="25">
        <v>300</v>
      </c>
      <c r="AA272" s="24">
        <v>349</v>
      </c>
      <c r="AB272" s="25"/>
      <c r="AC272" s="26">
        <v>2</v>
      </c>
      <c r="AD272" s="54">
        <v>6.3</v>
      </c>
      <c r="AE272" s="25" t="s">
        <v>812</v>
      </c>
      <c r="AF272" s="25" t="str">
        <f ca="1">Sprache!$A$101</f>
        <v>Zestaw (prawy+lewy)</v>
      </c>
      <c r="AG272" s="25" t="s">
        <v>26</v>
      </c>
      <c r="AH272" s="25" t="str">
        <f ca="1">Sprache!$A$121</f>
        <v>Sprężyna czarna dwustronnie</v>
      </c>
      <c r="AI272" s="25" t="s">
        <v>26</v>
      </c>
      <c r="AJ272" s="25" t="s">
        <v>26</v>
      </c>
      <c r="AK272" s="25">
        <f>'Material+Limits'!$K$9</f>
        <v>200</v>
      </c>
      <c r="AL272" s="24">
        <v>1200</v>
      </c>
      <c r="AM272" s="30"/>
      <c r="AN272" s="24"/>
      <c r="AO272"/>
      <c r="AR272"/>
      <c r="AS272"/>
      <c r="AT272"/>
      <c r="AU272"/>
      <c r="AV272"/>
    </row>
    <row r="273" spans="1:48" x14ac:dyDescent="0.25">
      <c r="A273" t="str">
        <f t="shared" ca="1" si="9"/>
        <v/>
      </c>
      <c r="B273" t="str">
        <f t="shared" ca="1" si="8"/>
        <v/>
      </c>
      <c r="C273" s="79">
        <f>IF('Material+Limits'!$P$6=TRUE,1,0)</f>
        <v>0</v>
      </c>
      <c r="D273" s="39">
        <f>IF(Daten!$O273+Daten!$P273+Daten!$R273=3,1,0)</f>
        <v>0</v>
      </c>
      <c r="E273" s="184">
        <f ca="1">IF(AND('Material+Limits'!$Q$21=TRUE,Daten!N273=1)=TRUE,1,0)</f>
        <v>0</v>
      </c>
      <c r="F273" s="185">
        <f>IF(AND('Material+Limits'!$Q$25=TRUE,Daten!M273=1)=TRUE,1,0)</f>
        <v>0</v>
      </c>
      <c r="G273" s="185">
        <f>IF(AND('Material+Limits'!$Q$24=TRUE,Daten!L273=1)=TRUE,1,0)</f>
        <v>0</v>
      </c>
      <c r="H273" s="185">
        <f>IF(AND('Material+Limits'!$Q$23=TRUE,Daten!K273=1)=TRUE,1,0)</f>
        <v>0</v>
      </c>
      <c r="I273" s="185">
        <f>IF(AND('Material+Limits'!$Q$22=TRUE,Daten!J273=1)=TRUE,1,0)</f>
        <v>0</v>
      </c>
      <c r="J273" s="155">
        <f>IF(Daten!$U273=13,1,0)</f>
        <v>0</v>
      </c>
      <c r="K273" s="156">
        <f>IF(Daten!$U273&lt;&gt;Daten!$V273,1,IF(Daten!$U273=14,1,0))</f>
        <v>0</v>
      </c>
      <c r="L273" s="156">
        <f>IF(Daten!$U273&lt;&gt;Daten!$V273,1,IF(Daten!$U273=16,1,0))</f>
        <v>0</v>
      </c>
      <c r="M273" s="156">
        <f>IF(Daten!$V273=17,1,0)</f>
        <v>1</v>
      </c>
      <c r="N273" s="157">
        <f ca="1">IF(Daten!$W273=Sprache!$A$60,1,0)</f>
        <v>0</v>
      </c>
      <c r="O273" s="169">
        <f>IF(AND(Daten!$AK273&lt;=KINVARO!$AW$3,Daten!$AL273&gt;=KINVARO!$AW$3)=TRUE,1,0)</f>
        <v>1</v>
      </c>
      <c r="P273" s="170">
        <f>IF(AND(Daten!$Z273&lt;=KINVARO!$AW$4,Daten!$AA273&gt;=KINVARO!$AW$4)=TRUE,1,0)</f>
        <v>0</v>
      </c>
      <c r="R273" s="170">
        <f>IF(AND(Daten!$AC273&lt;='Material+Limits'!$I$58,Daten!$AD273&gt;='Material+Limits'!$I$58)=TRUE,1,0)</f>
        <v>0</v>
      </c>
      <c r="S273" s="29">
        <f ca="1">IF(Daten!$X273=Sprache!$A$125,1,0)</f>
        <v>1</v>
      </c>
      <c r="T273" s="28" t="str">
        <f ca="1">Sprache!$A$58</f>
        <v>Podnośnik T-65</v>
      </c>
      <c r="U273" s="32">
        <v>17</v>
      </c>
      <c r="V273" s="29">
        <v>17</v>
      </c>
      <c r="W273" s="30">
        <f ca="1">Sprache!$A$131</f>
        <v>0</v>
      </c>
      <c r="X273" s="30">
        <f ca="1">Sprache!$A$126</f>
        <v>0</v>
      </c>
      <c r="Y273" s="30" t="str">
        <f ca="1">Sprache!$A$69</f>
        <v>Front</v>
      </c>
      <c r="Z273" s="30">
        <v>300</v>
      </c>
      <c r="AA273" s="28">
        <v>349</v>
      </c>
      <c r="AB273" s="30"/>
      <c r="AC273" s="31">
        <v>0.7</v>
      </c>
      <c r="AD273" s="53">
        <v>1.7</v>
      </c>
      <c r="AE273" s="30" t="s">
        <v>813</v>
      </c>
      <c r="AF273" s="30" t="str">
        <f ca="1">Sprache!$A$101</f>
        <v>Zestaw (prawy+lewy)</v>
      </c>
      <c r="AG273" s="30" t="s">
        <v>26</v>
      </c>
      <c r="AH273" s="30" t="str">
        <f ca="1">Sprache!$A$119</f>
        <v>Sprężyna żółta jednostronnie</v>
      </c>
      <c r="AI273" s="30" t="s">
        <v>26</v>
      </c>
      <c r="AJ273" s="30" t="s">
        <v>26</v>
      </c>
      <c r="AK273" s="30">
        <f>'Material+Limits'!$K$9</f>
        <v>200</v>
      </c>
      <c r="AL273" s="28">
        <v>1200</v>
      </c>
      <c r="AM273" s="30"/>
      <c r="AN273" s="28"/>
      <c r="AO273"/>
      <c r="AR273"/>
      <c r="AS273"/>
      <c r="AT273"/>
      <c r="AU273"/>
      <c r="AV273"/>
    </row>
    <row r="274" spans="1:48" x14ac:dyDescent="0.25">
      <c r="A274" t="str">
        <f t="shared" ca="1" si="9"/>
        <v/>
      </c>
      <c r="B274" t="str">
        <f t="shared" ca="1" si="8"/>
        <v/>
      </c>
      <c r="C274" s="79">
        <f>IF('Material+Limits'!$P$6=TRUE,1,0)</f>
        <v>0</v>
      </c>
      <c r="D274" s="39">
        <f>IF(Daten!$O274+Daten!$P274+Daten!$R274=3,1,0)</f>
        <v>0</v>
      </c>
      <c r="E274" s="184">
        <f ca="1">IF(AND('Material+Limits'!$Q$21=TRUE,Daten!N274=1)=TRUE,1,0)</f>
        <v>0</v>
      </c>
      <c r="F274" s="185">
        <f>IF(AND('Material+Limits'!$Q$25=TRUE,Daten!M274=1)=TRUE,1,0)</f>
        <v>0</v>
      </c>
      <c r="G274" s="185">
        <f>IF(AND('Material+Limits'!$Q$24=TRUE,Daten!L274=1)=TRUE,1,0)</f>
        <v>0</v>
      </c>
      <c r="H274" s="185">
        <f>IF(AND('Material+Limits'!$Q$23=TRUE,Daten!K274=1)=TRUE,1,0)</f>
        <v>0</v>
      </c>
      <c r="I274" s="185">
        <f>IF(AND('Material+Limits'!$Q$22=TRUE,Daten!J274=1)=TRUE,1,0)</f>
        <v>0</v>
      </c>
      <c r="J274" s="158">
        <f>IF(Daten!$U274=13,1,0)</f>
        <v>0</v>
      </c>
      <c r="K274" s="159">
        <f>IF(Daten!$U274&lt;&gt;Daten!$V274,1,IF(Daten!$U274=14,1,0))</f>
        <v>0</v>
      </c>
      <c r="L274" s="159">
        <f>IF(Daten!$U274&lt;&gt;Daten!$V274,1,IF(Daten!$U274=16,1,0))</f>
        <v>0</v>
      </c>
      <c r="M274" s="159">
        <f>IF(Daten!$V274=17,1,0)</f>
        <v>1</v>
      </c>
      <c r="N274" s="160">
        <f ca="1">IF(Daten!$W274=Sprache!$A$60,1,0)</f>
        <v>0</v>
      </c>
      <c r="O274" s="171">
        <f>IF(AND(Daten!$AK274&lt;=KINVARO!$AW$3,Daten!$AL274&gt;=KINVARO!$AW$3)=TRUE,1,0)</f>
        <v>1</v>
      </c>
      <c r="P274" s="172">
        <f>IF(AND(Daten!$Z274&lt;=KINVARO!$AW$4,Daten!$AA274&gt;=KINVARO!$AW$4)=TRUE,1,0)</f>
        <v>0</v>
      </c>
      <c r="Q274" s="172"/>
      <c r="R274" s="172">
        <f>IF(AND(Daten!$AC274&lt;='Material+Limits'!$I$58,Daten!$AD274&gt;='Material+Limits'!$I$58)=TRUE,1,0)</f>
        <v>0</v>
      </c>
      <c r="S274" s="23">
        <f ca="1">IF(Daten!$X274=Sprache!$A$125,1,0)</f>
        <v>1</v>
      </c>
      <c r="T274" s="24" t="str">
        <f ca="1">Sprache!$A$58</f>
        <v>Podnośnik T-65</v>
      </c>
      <c r="U274" s="27">
        <v>17</v>
      </c>
      <c r="V274" s="23">
        <v>17</v>
      </c>
      <c r="W274" s="25">
        <f ca="1">Sprache!$A$131</f>
        <v>0</v>
      </c>
      <c r="X274" s="25">
        <f ca="1">Sprache!$A$126</f>
        <v>0</v>
      </c>
      <c r="Y274" s="25" t="str">
        <f ca="1">Sprache!$A$69</f>
        <v>Front</v>
      </c>
      <c r="Z274" s="25">
        <v>300</v>
      </c>
      <c r="AA274" s="24">
        <v>349</v>
      </c>
      <c r="AB274" s="25"/>
      <c r="AC274" s="26">
        <v>1.4</v>
      </c>
      <c r="AD274" s="54">
        <v>3.4</v>
      </c>
      <c r="AE274" s="25" t="s">
        <v>813</v>
      </c>
      <c r="AF274" s="25" t="str">
        <f ca="1">Sprache!$A$101</f>
        <v>Zestaw (prawy+lewy)</v>
      </c>
      <c r="AG274" s="25" t="s">
        <v>26</v>
      </c>
      <c r="AH274" s="25" t="str">
        <f ca="1">Sprache!$A$120</f>
        <v>Sprężyna żółta dwustronnie</v>
      </c>
      <c r="AI274" s="25" t="s">
        <v>26</v>
      </c>
      <c r="AJ274" s="25" t="s">
        <v>26</v>
      </c>
      <c r="AK274" s="25">
        <f>'Material+Limits'!$K$9</f>
        <v>200</v>
      </c>
      <c r="AL274" s="24">
        <v>1200</v>
      </c>
      <c r="AM274" s="30"/>
      <c r="AN274" s="24"/>
      <c r="AO274"/>
      <c r="AR274"/>
      <c r="AS274"/>
      <c r="AT274"/>
      <c r="AU274"/>
      <c r="AV274"/>
    </row>
    <row r="275" spans="1:48" s="5" customFormat="1" x14ac:dyDescent="0.25">
      <c r="A275" t="str">
        <f t="shared" ca="1" si="9"/>
        <v/>
      </c>
      <c r="B275" t="str">
        <f t="shared" ca="1" si="8"/>
        <v/>
      </c>
      <c r="C275" s="79">
        <f>IF('Material+Limits'!$P$6=TRUE,1,0)</f>
        <v>0</v>
      </c>
      <c r="D275" s="39">
        <f>IF(Daten!$O275+Daten!$P275+Daten!$R275=3,1,0)</f>
        <v>0</v>
      </c>
      <c r="E275" s="184">
        <f ca="1">IF(AND('Material+Limits'!$Q$21=TRUE,Daten!N275=1)=TRUE,1,0)</f>
        <v>0</v>
      </c>
      <c r="F275" s="185">
        <f>IF(AND('Material+Limits'!$Q$25=TRUE,Daten!M275=1)=TRUE,1,0)</f>
        <v>0</v>
      </c>
      <c r="G275" s="185">
        <f>IF(AND('Material+Limits'!$Q$24=TRUE,Daten!L275=1)=TRUE,1,0)</f>
        <v>0</v>
      </c>
      <c r="H275" s="185">
        <f>IF(AND('Material+Limits'!$Q$23=TRUE,Daten!K275=1)=TRUE,1,0)</f>
        <v>0</v>
      </c>
      <c r="I275" s="185">
        <f>IF(AND('Material+Limits'!$Q$22=TRUE,Daten!J275=1)=TRUE,1,0)</f>
        <v>0</v>
      </c>
      <c r="J275" s="155">
        <f>IF(Daten!$U275=13,1,0)</f>
        <v>0</v>
      </c>
      <c r="K275" s="156">
        <f>IF(Daten!$U275&lt;&gt;Daten!$V275,1,IF(Daten!$U275=14,1,0))</f>
        <v>0</v>
      </c>
      <c r="L275" s="156">
        <f>IF(Daten!$U275&lt;&gt;Daten!$V275,1,IF(Daten!$U275=16,1,0))</f>
        <v>0</v>
      </c>
      <c r="M275" s="156">
        <f>IF(Daten!$V275=17,1,0)</f>
        <v>1</v>
      </c>
      <c r="N275" s="157">
        <f ca="1">IF(Daten!$W275=Sprache!$A$60,1,0)</f>
        <v>0</v>
      </c>
      <c r="O275" s="169">
        <f>IF(AND(Daten!$AK275&lt;=KINVARO!$AW$3,Daten!$AL275&gt;=KINVARO!$AW$3)=TRUE,1,0)</f>
        <v>1</v>
      </c>
      <c r="P275" s="170">
        <f>IF(AND(Daten!$Z275&lt;=KINVARO!$AW$4,Daten!$AA275&gt;=KINVARO!$AW$4)=TRUE,1,0)</f>
        <v>0</v>
      </c>
      <c r="Q275" s="170"/>
      <c r="R275" s="170">
        <f>IF(AND(Daten!$AC275&lt;='Material+Limits'!$I$58,Daten!$AD275&gt;='Material+Limits'!$I$58)=TRUE,1,0)</f>
        <v>1</v>
      </c>
      <c r="S275" s="29">
        <f ca="1">IF(Daten!$X275=Sprache!$A$125,1,0)</f>
        <v>1</v>
      </c>
      <c r="T275" s="28" t="str">
        <f ca="1">Sprache!$A$58</f>
        <v>Podnośnik T-65</v>
      </c>
      <c r="U275" s="32">
        <v>17</v>
      </c>
      <c r="V275" s="29">
        <v>17</v>
      </c>
      <c r="W275" s="30">
        <f ca="1">Sprache!$A$131</f>
        <v>0</v>
      </c>
      <c r="X275" s="30">
        <f ca="1">Sprache!$A$126</f>
        <v>0</v>
      </c>
      <c r="Y275" s="30" t="str">
        <f ca="1">Sprache!$A$69</f>
        <v>Front</v>
      </c>
      <c r="Z275" s="30">
        <v>300</v>
      </c>
      <c r="AA275" s="28">
        <v>349</v>
      </c>
      <c r="AB275" s="30"/>
      <c r="AC275" s="31">
        <v>2</v>
      </c>
      <c r="AD275" s="53">
        <v>6.3</v>
      </c>
      <c r="AE275" s="30" t="s">
        <v>813</v>
      </c>
      <c r="AF275" s="30" t="str">
        <f ca="1">Sprache!$A$101</f>
        <v>Zestaw (prawy+lewy)</v>
      </c>
      <c r="AG275" s="30" t="s">
        <v>26</v>
      </c>
      <c r="AH275" s="30" t="str">
        <f ca="1">Sprache!$A$121</f>
        <v>Sprężyna czarna dwustronnie</v>
      </c>
      <c r="AI275" s="30" t="s">
        <v>26</v>
      </c>
      <c r="AJ275" s="30" t="s">
        <v>26</v>
      </c>
      <c r="AK275" s="30">
        <f>'Material+Limits'!$K$9</f>
        <v>200</v>
      </c>
      <c r="AL275" s="28">
        <v>1200</v>
      </c>
      <c r="AM275" s="30"/>
      <c r="AN275" s="28"/>
    </row>
    <row r="276" spans="1:48" x14ac:dyDescent="0.25">
      <c r="A276" t="str">
        <f t="shared" ca="1" si="9"/>
        <v/>
      </c>
      <c r="B276" t="str">
        <f t="shared" ca="1" si="8"/>
        <v/>
      </c>
      <c r="C276" s="79">
        <f>IF('Material+Limits'!$P$6=TRUE,1,0)</f>
        <v>0</v>
      </c>
      <c r="D276" s="39">
        <f>IF(Daten!$O276+Daten!$P276+Daten!$R276=3,1,0)</f>
        <v>0</v>
      </c>
      <c r="E276" s="184">
        <f ca="1">IF(AND('Material+Limits'!$Q$21=TRUE,Daten!N276=1)=TRUE,1,0)</f>
        <v>1</v>
      </c>
      <c r="F276" s="185">
        <f ca="1">IF(AND('Material+Limits'!$Q$25=TRUE,Daten!M276=1)=TRUE,1,0)</f>
        <v>0</v>
      </c>
      <c r="G276" s="185">
        <f ca="1">IF(AND('Material+Limits'!$Q$24=TRUE,Daten!L276=1)=TRUE,1,0)</f>
        <v>0</v>
      </c>
      <c r="H276" s="185">
        <f ca="1">IF(AND('Material+Limits'!$Q$23=TRUE,Daten!K276=1)=TRUE,1,0)</f>
        <v>0</v>
      </c>
      <c r="I276" s="185">
        <f ca="1">IF(AND('Material+Limits'!$Q$22=TRUE,Daten!J276=1)=TRUE,1,0)</f>
        <v>0</v>
      </c>
      <c r="J276" s="158">
        <f ca="1">IF(Daten!$U276=13,1,0)</f>
        <v>0</v>
      </c>
      <c r="K276" s="159">
        <f ca="1">IF(Daten!$U276&lt;&gt;Daten!$V276,1,IF(Daten!$U276=14,1,0))</f>
        <v>0</v>
      </c>
      <c r="L276" s="159">
        <f ca="1">IF(Daten!$U276&lt;&gt;Daten!$V276,1,IF(Daten!$U276=16,1,0))</f>
        <v>0</v>
      </c>
      <c r="M276" s="159">
        <f ca="1">IF(Daten!$V276=17,1,0)</f>
        <v>0</v>
      </c>
      <c r="N276" s="160">
        <f ca="1">IF(Daten!$W276=Sprache!$A$60,1,0)</f>
        <v>1</v>
      </c>
      <c r="O276" s="173">
        <f>IF(AND(Daten!$AK276&lt;=KINVARO!$AW$3,Daten!$AL276&gt;=KINVARO!$AW$3)=TRUE,1,0)</f>
        <v>1</v>
      </c>
      <c r="P276" s="174">
        <f>IF(AND(Daten!$Z276&lt;=KINVARO!$AW$4,Daten!$AA276&gt;=KINVARO!$AW$4)=TRUE,1,0)</f>
        <v>0</v>
      </c>
      <c r="Q276" s="174"/>
      <c r="R276" s="174">
        <f>IF(AND(Daten!$AC276&lt;='Material+Limits'!$I$58,Daten!$AD276&gt;='Material+Limits'!$I$58)=TRUE,1,0)</f>
        <v>0</v>
      </c>
      <c r="S276" s="38">
        <f ca="1">IF(Daten!$X276=Sprache!$A$125,1,0)</f>
        <v>1</v>
      </c>
      <c r="T276" s="57" t="str">
        <f ca="1">Sprache!$A$58</f>
        <v>Podnośnik T-65</v>
      </c>
      <c r="U276" s="55">
        <f ca="1">Sprache!$A$64</f>
        <v>0</v>
      </c>
      <c r="V276" s="38">
        <f ca="1">Sprache!$A$64</f>
        <v>0</v>
      </c>
      <c r="W276" s="56" t="str">
        <f ca="1">Sprache!$A$60</f>
        <v>Front lity (drewno/płyta)</v>
      </c>
      <c r="X276" s="25">
        <f ca="1">Sprache!$A$126</f>
        <v>0</v>
      </c>
      <c r="Y276" s="56" t="str">
        <f ca="1">Sprache!$A$69</f>
        <v>Front</v>
      </c>
      <c r="Z276" s="56">
        <v>350</v>
      </c>
      <c r="AA276" s="57">
        <v>399</v>
      </c>
      <c r="AB276" s="56"/>
      <c r="AC276" s="58">
        <v>1</v>
      </c>
      <c r="AD276" s="59">
        <v>2.9</v>
      </c>
      <c r="AE276" s="56" t="s">
        <v>809</v>
      </c>
      <c r="AF276" s="56" t="str">
        <f ca="1">Sprache!$A$101</f>
        <v>Zestaw (prawy+lewy)</v>
      </c>
      <c r="AG276" s="56" t="s">
        <v>26</v>
      </c>
      <c r="AH276" s="56" t="str">
        <f ca="1">Sprache!$A$120</f>
        <v>Sprężyna żółta dwustronnie</v>
      </c>
      <c r="AI276" s="25" t="s">
        <v>26</v>
      </c>
      <c r="AJ276" s="25" t="s">
        <v>26</v>
      </c>
      <c r="AK276" s="56">
        <f>'Material+Limits'!$K$9</f>
        <v>200</v>
      </c>
      <c r="AL276" s="57">
        <v>1200</v>
      </c>
      <c r="AM276" s="30"/>
      <c r="AN276" s="24"/>
      <c r="AO276"/>
      <c r="AR276"/>
      <c r="AS276"/>
      <c r="AT276"/>
      <c r="AU276"/>
      <c r="AV276"/>
    </row>
    <row r="277" spans="1:48" x14ac:dyDescent="0.25">
      <c r="A277" t="str">
        <f t="shared" ca="1" si="9"/>
        <v/>
      </c>
      <c r="B277" t="str">
        <f t="shared" ca="1" si="8"/>
        <v/>
      </c>
      <c r="C277" s="79">
        <f>IF('Material+Limits'!$P$6=TRUE,1,0)</f>
        <v>0</v>
      </c>
      <c r="D277" s="39">
        <f>IF(Daten!$O277+Daten!$P277+Daten!$R277=3,1,0)</f>
        <v>0</v>
      </c>
      <c r="E277" s="184">
        <f ca="1">IF(AND('Material+Limits'!$Q$21=TRUE,Daten!N277=1)=TRUE,1,0)</f>
        <v>1</v>
      </c>
      <c r="F277" s="185">
        <f ca="1">IF(AND('Material+Limits'!$Q$25=TRUE,Daten!M277=1)=TRUE,1,0)</f>
        <v>0</v>
      </c>
      <c r="G277" s="185">
        <f ca="1">IF(AND('Material+Limits'!$Q$24=TRUE,Daten!L277=1)=TRUE,1,0)</f>
        <v>0</v>
      </c>
      <c r="H277" s="185">
        <f ca="1">IF(AND('Material+Limits'!$Q$23=TRUE,Daten!K277=1)=TRUE,1,0)</f>
        <v>0</v>
      </c>
      <c r="I277" s="185">
        <f ca="1">IF(AND('Material+Limits'!$Q$22=TRUE,Daten!J277=1)=TRUE,1,0)</f>
        <v>0</v>
      </c>
      <c r="J277" s="155">
        <f ca="1">IF(Daten!$U277=13,1,0)</f>
        <v>0</v>
      </c>
      <c r="K277" s="156">
        <f ca="1">IF(Daten!$U277&lt;&gt;Daten!$V277,1,IF(Daten!$U277=14,1,0))</f>
        <v>0</v>
      </c>
      <c r="L277" s="156">
        <f ca="1">IF(Daten!$U277&lt;&gt;Daten!$V277,1,IF(Daten!$U277=16,1,0))</f>
        <v>0</v>
      </c>
      <c r="M277" s="156">
        <f ca="1">IF(Daten!$V277=17,1,0)</f>
        <v>0</v>
      </c>
      <c r="N277" s="157">
        <f ca="1">IF(Daten!$W277=Sprache!$A$60,1,0)</f>
        <v>1</v>
      </c>
      <c r="O277" s="169">
        <f>IF(AND(Daten!$AK277&lt;=KINVARO!$AW$3,Daten!$AL277&gt;=KINVARO!$AW$3)=TRUE,1,0)</f>
        <v>1</v>
      </c>
      <c r="P277" s="170">
        <f>IF(AND(Daten!$Z277&lt;=KINVARO!$AW$4,Daten!$AA277&gt;=KINVARO!$AW$4)=TRUE,1,0)</f>
        <v>0</v>
      </c>
      <c r="R277" s="170">
        <f>IF(AND(Daten!$AC277&lt;='Material+Limits'!$I$58,Daten!$AD277&gt;='Material+Limits'!$I$58)=TRUE,1,0)</f>
        <v>0</v>
      </c>
      <c r="S277" s="29">
        <f ca="1">IF(Daten!$X277=Sprache!$A$125,1,0)</f>
        <v>1</v>
      </c>
      <c r="T277" s="28" t="str">
        <f ca="1">Sprache!$A$58</f>
        <v>Podnośnik T-65</v>
      </c>
      <c r="U277" s="32">
        <f ca="1">Sprache!$A$64</f>
        <v>0</v>
      </c>
      <c r="V277" s="29">
        <f ca="1">Sprache!$A$64</f>
        <v>0</v>
      </c>
      <c r="W277" s="30" t="str">
        <f ca="1">Sprache!$A$60</f>
        <v>Front lity (drewno/płyta)</v>
      </c>
      <c r="X277" s="30">
        <f ca="1">Sprache!$A$126</f>
        <v>0</v>
      </c>
      <c r="Y277" s="30" t="str">
        <f ca="1">Sprache!$A$69</f>
        <v>Front</v>
      </c>
      <c r="Z277" s="30">
        <v>350</v>
      </c>
      <c r="AA277" s="28">
        <v>399</v>
      </c>
      <c r="AB277" s="30"/>
      <c r="AC277" s="31">
        <v>1.7</v>
      </c>
      <c r="AD277" s="53">
        <v>5.4</v>
      </c>
      <c r="AE277" s="30" t="s">
        <v>809</v>
      </c>
      <c r="AF277" s="30" t="str">
        <f ca="1">Sprache!$A$101</f>
        <v>Zestaw (prawy+lewy)</v>
      </c>
      <c r="AG277" s="30" t="s">
        <v>26</v>
      </c>
      <c r="AH277" s="30" t="str">
        <f ca="1">Sprache!$A$121</f>
        <v>Sprężyna czarna dwustronnie</v>
      </c>
      <c r="AI277" s="30" t="s">
        <v>26</v>
      </c>
      <c r="AJ277" s="30" t="s">
        <v>26</v>
      </c>
      <c r="AK277" s="30">
        <f>'Material+Limits'!$K$9</f>
        <v>200</v>
      </c>
      <c r="AL277" s="28">
        <v>1200</v>
      </c>
      <c r="AM277" s="30"/>
      <c r="AN277" s="28"/>
      <c r="AO277"/>
      <c r="AR277"/>
      <c r="AS277"/>
      <c r="AT277"/>
      <c r="AU277"/>
      <c r="AV277"/>
    </row>
    <row r="278" spans="1:48" x14ac:dyDescent="0.25">
      <c r="A278" t="str">
        <f t="shared" ca="1" si="9"/>
        <v/>
      </c>
      <c r="B278" t="str">
        <f t="shared" ca="1" si="8"/>
        <v/>
      </c>
      <c r="C278" s="79">
        <f>IF('Material+Limits'!$P$6=TRUE,1,0)</f>
        <v>0</v>
      </c>
      <c r="D278" s="39">
        <f>IF(Daten!$O278+Daten!$P278+Daten!$R278=3,1,0)</f>
        <v>0</v>
      </c>
      <c r="E278" s="184">
        <f ca="1">IF(AND('Material+Limits'!$Q$21=TRUE,Daten!N278=1)=TRUE,1,0)</f>
        <v>0</v>
      </c>
      <c r="F278" s="185">
        <f>IF(AND('Material+Limits'!$Q$25=TRUE,Daten!M278=1)=TRUE,1,0)</f>
        <v>0</v>
      </c>
      <c r="G278" s="185">
        <f>IF(AND('Material+Limits'!$Q$24=TRUE,Daten!L278=1)=TRUE,1,0)</f>
        <v>0</v>
      </c>
      <c r="H278" s="185">
        <f>IF(AND('Material+Limits'!$Q$23=TRUE,Daten!K278=1)=TRUE,1,0)</f>
        <v>0</v>
      </c>
      <c r="I278" s="185">
        <f>IF(AND('Material+Limits'!$Q$22=TRUE,Daten!J278=1)=TRUE,1,0)</f>
        <v>0</v>
      </c>
      <c r="J278" s="158">
        <f>IF(Daten!$U278=13,1,0)</f>
        <v>1</v>
      </c>
      <c r="K278" s="159">
        <f>IF(Daten!$U278&lt;&gt;Daten!$V278,1,IF(Daten!$U278=14,1,0))</f>
        <v>0</v>
      </c>
      <c r="L278" s="159">
        <f>IF(Daten!$U278&lt;&gt;Daten!$V278,1,IF(Daten!$U278=16,1,0))</f>
        <v>0</v>
      </c>
      <c r="M278" s="159">
        <f>IF(Daten!$V278=17,1,0)</f>
        <v>0</v>
      </c>
      <c r="N278" s="160">
        <f ca="1">IF(Daten!$W278=Sprache!$A$60,1,0)</f>
        <v>0</v>
      </c>
      <c r="O278" s="171">
        <f>IF(AND(Daten!$AK278&lt;=KINVARO!$AW$3,Daten!$AL278&gt;=KINVARO!$AW$3)=TRUE,1,0)</f>
        <v>1</v>
      </c>
      <c r="P278" s="172">
        <f>IF(AND(Daten!$Z278&lt;=KINVARO!$AW$4,Daten!$AA278&gt;=KINVARO!$AW$4)=TRUE,1,0)</f>
        <v>0</v>
      </c>
      <c r="Q278" s="172"/>
      <c r="R278" s="172">
        <f>IF(AND(Daten!$AC278&lt;='Material+Limits'!$I$58,Daten!$AD278&gt;='Material+Limits'!$I$58)=TRUE,1,0)</f>
        <v>0</v>
      </c>
      <c r="S278" s="23">
        <f ca="1">IF(Daten!$X278=Sprache!$A$125,1,0)</f>
        <v>1</v>
      </c>
      <c r="T278" s="24" t="str">
        <f ca="1">Sprache!$A$58</f>
        <v>Podnośnik T-65</v>
      </c>
      <c r="U278" s="27">
        <v>13</v>
      </c>
      <c r="V278" s="23">
        <v>13</v>
      </c>
      <c r="W278" s="25">
        <f ca="1">Sprache!$A$131</f>
        <v>0</v>
      </c>
      <c r="X278" s="25">
        <f ca="1">Sprache!$A$126</f>
        <v>0</v>
      </c>
      <c r="Y278" s="25" t="str">
        <f ca="1">Sprache!$A$69</f>
        <v>Front</v>
      </c>
      <c r="Z278" s="25">
        <v>350</v>
      </c>
      <c r="AA278" s="24">
        <v>399</v>
      </c>
      <c r="AB278" s="25"/>
      <c r="AC278" s="26">
        <v>1</v>
      </c>
      <c r="AD278" s="54">
        <v>2.9</v>
      </c>
      <c r="AE278" s="25" t="s">
        <v>810</v>
      </c>
      <c r="AF278" s="25" t="str">
        <f ca="1">Sprache!$A$101</f>
        <v>Zestaw (prawy+lewy)</v>
      </c>
      <c r="AG278" s="25" t="s">
        <v>26</v>
      </c>
      <c r="AH278" s="25" t="str">
        <f ca="1">Sprache!$A$120</f>
        <v>Sprężyna żółta dwustronnie</v>
      </c>
      <c r="AI278" s="25" t="s">
        <v>26</v>
      </c>
      <c r="AJ278" s="25" t="s">
        <v>26</v>
      </c>
      <c r="AK278" s="25">
        <f>'Material+Limits'!$K$9</f>
        <v>200</v>
      </c>
      <c r="AL278" s="24">
        <v>1200</v>
      </c>
      <c r="AM278" s="30"/>
      <c r="AN278" s="24"/>
      <c r="AO278"/>
      <c r="AR278"/>
      <c r="AS278"/>
      <c r="AT278"/>
      <c r="AU278"/>
      <c r="AV278"/>
    </row>
    <row r="279" spans="1:48" x14ac:dyDescent="0.25">
      <c r="A279" t="str">
        <f t="shared" ca="1" si="9"/>
        <v/>
      </c>
      <c r="B279" t="str">
        <f t="shared" ca="1" si="8"/>
        <v/>
      </c>
      <c r="C279" s="79">
        <f>IF('Material+Limits'!$P$6=TRUE,1,0)</f>
        <v>0</v>
      </c>
      <c r="D279" s="39">
        <f>IF(Daten!$O279+Daten!$P279+Daten!$R279=3,1,0)</f>
        <v>0</v>
      </c>
      <c r="E279" s="184">
        <f ca="1">IF(AND('Material+Limits'!$Q$21=TRUE,Daten!N279=1)=TRUE,1,0)</f>
        <v>0</v>
      </c>
      <c r="F279" s="185">
        <f>IF(AND('Material+Limits'!$Q$25=TRUE,Daten!M279=1)=TRUE,1,0)</f>
        <v>0</v>
      </c>
      <c r="G279" s="185">
        <f>IF(AND('Material+Limits'!$Q$24=TRUE,Daten!L279=1)=TRUE,1,0)</f>
        <v>0</v>
      </c>
      <c r="H279" s="185">
        <f>IF(AND('Material+Limits'!$Q$23=TRUE,Daten!K279=1)=TRUE,1,0)</f>
        <v>0</v>
      </c>
      <c r="I279" s="185">
        <f>IF(AND('Material+Limits'!$Q$22=TRUE,Daten!J279=1)=TRUE,1,0)</f>
        <v>0</v>
      </c>
      <c r="J279" s="155">
        <f>IF(Daten!$U279=13,1,0)</f>
        <v>1</v>
      </c>
      <c r="K279" s="156">
        <f>IF(Daten!$U279&lt;&gt;Daten!$V279,1,IF(Daten!$U279=14,1,0))</f>
        <v>0</v>
      </c>
      <c r="L279" s="156">
        <f>IF(Daten!$U279&lt;&gt;Daten!$V279,1,IF(Daten!$U279=16,1,0))</f>
        <v>0</v>
      </c>
      <c r="M279" s="156">
        <f>IF(Daten!$V279=17,1,0)</f>
        <v>0</v>
      </c>
      <c r="N279" s="157">
        <f ca="1">IF(Daten!$W279=Sprache!$A$60,1,0)</f>
        <v>0</v>
      </c>
      <c r="O279" s="169">
        <f>IF(AND(Daten!$AK279&lt;=KINVARO!$AW$3,Daten!$AL279&gt;=KINVARO!$AW$3)=TRUE,1,0)</f>
        <v>1</v>
      </c>
      <c r="P279" s="170">
        <f>IF(AND(Daten!$Z279&lt;=KINVARO!$AW$4,Daten!$AA279&gt;=KINVARO!$AW$4)=TRUE,1,0)</f>
        <v>0</v>
      </c>
      <c r="R279" s="170">
        <f>IF(AND(Daten!$AC279&lt;='Material+Limits'!$I$58,Daten!$AD279&gt;='Material+Limits'!$I$58)=TRUE,1,0)</f>
        <v>0</v>
      </c>
      <c r="S279" s="29">
        <f ca="1">IF(Daten!$X279=Sprache!$A$125,1,0)</f>
        <v>1</v>
      </c>
      <c r="T279" s="28" t="str">
        <f ca="1">Sprache!$A$58</f>
        <v>Podnośnik T-65</v>
      </c>
      <c r="U279" s="32">
        <v>13</v>
      </c>
      <c r="V279" s="29">
        <v>13</v>
      </c>
      <c r="W279" s="30">
        <f ca="1">Sprache!$A$131</f>
        <v>0</v>
      </c>
      <c r="X279" s="30">
        <f ca="1">Sprache!$A$126</f>
        <v>0</v>
      </c>
      <c r="Y279" s="30" t="str">
        <f ca="1">Sprache!$A$69</f>
        <v>Front</v>
      </c>
      <c r="Z279" s="30">
        <v>350</v>
      </c>
      <c r="AA279" s="28">
        <v>399</v>
      </c>
      <c r="AB279" s="30"/>
      <c r="AC279" s="31">
        <v>1.7</v>
      </c>
      <c r="AD279" s="53">
        <v>5.4</v>
      </c>
      <c r="AE279" s="30" t="s">
        <v>810</v>
      </c>
      <c r="AF279" s="30" t="str">
        <f ca="1">Sprache!$A$101</f>
        <v>Zestaw (prawy+lewy)</v>
      </c>
      <c r="AG279" s="30" t="s">
        <v>26</v>
      </c>
      <c r="AH279" s="30" t="str">
        <f ca="1">Sprache!$A$121</f>
        <v>Sprężyna czarna dwustronnie</v>
      </c>
      <c r="AI279" s="30" t="s">
        <v>26</v>
      </c>
      <c r="AJ279" s="30" t="s">
        <v>26</v>
      </c>
      <c r="AK279" s="30">
        <f>'Material+Limits'!$K$9</f>
        <v>200</v>
      </c>
      <c r="AL279" s="28">
        <v>1200</v>
      </c>
      <c r="AM279" s="30"/>
      <c r="AN279" s="28"/>
      <c r="AO279"/>
      <c r="AR279"/>
      <c r="AS279"/>
      <c r="AT279"/>
      <c r="AU279"/>
      <c r="AV279"/>
    </row>
    <row r="280" spans="1:48" x14ac:dyDescent="0.25">
      <c r="A280" t="str">
        <f t="shared" ca="1" si="9"/>
        <v/>
      </c>
      <c r="B280" t="str">
        <f t="shared" ca="1" si="8"/>
        <v/>
      </c>
      <c r="C280" s="79">
        <f>IF('Material+Limits'!$P$6=TRUE,1,0)</f>
        <v>0</v>
      </c>
      <c r="D280" s="39">
        <f>IF(Daten!$O280+Daten!$P280+Daten!$R280=3,1,0)</f>
        <v>0</v>
      </c>
      <c r="E280" s="184">
        <f ca="1">IF(AND('Material+Limits'!$Q$21=TRUE,Daten!N280=1)=TRUE,1,0)</f>
        <v>0</v>
      </c>
      <c r="F280" s="185">
        <f>IF(AND('Material+Limits'!$Q$25=TRUE,Daten!M280=1)=TRUE,1,0)</f>
        <v>0</v>
      </c>
      <c r="G280" s="185">
        <f>IF(AND('Material+Limits'!$Q$24=TRUE,Daten!L280=1)=TRUE,1,0)</f>
        <v>0</v>
      </c>
      <c r="H280" s="185">
        <f>IF(AND('Material+Limits'!$Q$23=TRUE,Daten!K280=1)=TRUE,1,0)</f>
        <v>0</v>
      </c>
      <c r="I280" s="185">
        <f>IF(AND('Material+Limits'!$Q$22=TRUE,Daten!J280=1)=TRUE,1,0)</f>
        <v>0</v>
      </c>
      <c r="J280" s="158">
        <f>IF(Daten!$U280=13,1,0)</f>
        <v>0</v>
      </c>
      <c r="K280" s="159">
        <f>IF(Daten!$U280&lt;&gt;Daten!$V280,1,IF(Daten!$U280=14,1,0))</f>
        <v>1</v>
      </c>
      <c r="L280" s="159">
        <f>IF(Daten!$U280&lt;&gt;Daten!$V280,1,IF(Daten!$U280=16,1,0))</f>
        <v>0</v>
      </c>
      <c r="M280" s="159">
        <f>IF(Daten!$V280=17,1,0)</f>
        <v>0</v>
      </c>
      <c r="N280" s="160">
        <f ca="1">IF(Daten!$W280=Sprache!$A$60,1,0)</f>
        <v>0</v>
      </c>
      <c r="O280" s="171">
        <f>IF(AND(Daten!$AK280&lt;=KINVARO!$AW$3,Daten!$AL280&gt;=KINVARO!$AW$3)=TRUE,1,0)</f>
        <v>1</v>
      </c>
      <c r="P280" s="172">
        <f>IF(AND(Daten!$Z280&lt;=KINVARO!$AW$4,Daten!$AA280&gt;=KINVARO!$AW$4)=TRUE,1,0)</f>
        <v>0</v>
      </c>
      <c r="Q280" s="172"/>
      <c r="R280" s="172">
        <f>IF(AND(Daten!$AC280&lt;='Material+Limits'!$I$58,Daten!$AD280&gt;='Material+Limits'!$I$58)=TRUE,1,0)</f>
        <v>0</v>
      </c>
      <c r="S280" s="23">
        <f ca="1">IF(Daten!$X280=Sprache!$A$125,1,0)</f>
        <v>1</v>
      </c>
      <c r="T280" s="24" t="str">
        <f ca="1">Sprache!$A$58</f>
        <v>Podnośnik T-65</v>
      </c>
      <c r="U280" s="27">
        <v>14</v>
      </c>
      <c r="V280" s="23">
        <v>14</v>
      </c>
      <c r="W280" s="25">
        <f ca="1">Sprache!$A$131</f>
        <v>0</v>
      </c>
      <c r="X280" s="25">
        <f ca="1">Sprache!$A$126</f>
        <v>0</v>
      </c>
      <c r="Y280" s="25" t="str">
        <f ca="1">Sprache!$A$69</f>
        <v>Front</v>
      </c>
      <c r="Z280" s="25">
        <v>350</v>
      </c>
      <c r="AA280" s="24">
        <v>399</v>
      </c>
      <c r="AB280" s="25"/>
      <c r="AC280" s="26">
        <v>1</v>
      </c>
      <c r="AD280" s="54">
        <v>2.9</v>
      </c>
      <c r="AE280" s="25" t="s">
        <v>811</v>
      </c>
      <c r="AF280" s="25" t="str">
        <f ca="1">Sprache!$A$101</f>
        <v>Zestaw (prawy+lewy)</v>
      </c>
      <c r="AG280" s="25" t="s">
        <v>26</v>
      </c>
      <c r="AH280" s="25" t="str">
        <f ca="1">Sprache!$A$120</f>
        <v>Sprężyna żółta dwustronnie</v>
      </c>
      <c r="AI280" s="25" t="s">
        <v>26</v>
      </c>
      <c r="AJ280" s="25" t="s">
        <v>26</v>
      </c>
      <c r="AK280" s="25">
        <f>'Material+Limits'!$K$9</f>
        <v>200</v>
      </c>
      <c r="AL280" s="24">
        <v>1200</v>
      </c>
      <c r="AM280" s="30"/>
      <c r="AN280" s="24"/>
      <c r="AO280"/>
      <c r="AR280"/>
      <c r="AS280"/>
      <c r="AT280"/>
      <c r="AU280"/>
      <c r="AV280"/>
    </row>
    <row r="281" spans="1:48" x14ac:dyDescent="0.25">
      <c r="A281" t="str">
        <f t="shared" ca="1" si="9"/>
        <v/>
      </c>
      <c r="B281" t="str">
        <f t="shared" ca="1" si="8"/>
        <v/>
      </c>
      <c r="C281" s="79">
        <f>IF('Material+Limits'!$P$6=TRUE,1,0)</f>
        <v>0</v>
      </c>
      <c r="D281" s="39">
        <f>IF(Daten!$O281+Daten!$P281+Daten!$R281=3,1,0)</f>
        <v>0</v>
      </c>
      <c r="E281" s="184">
        <f ca="1">IF(AND('Material+Limits'!$Q$21=TRUE,Daten!N281=1)=TRUE,1,0)</f>
        <v>0</v>
      </c>
      <c r="F281" s="185">
        <f>IF(AND('Material+Limits'!$Q$25=TRUE,Daten!M281=1)=TRUE,1,0)</f>
        <v>0</v>
      </c>
      <c r="G281" s="185">
        <f>IF(AND('Material+Limits'!$Q$24=TRUE,Daten!L281=1)=TRUE,1,0)</f>
        <v>0</v>
      </c>
      <c r="H281" s="185">
        <f>IF(AND('Material+Limits'!$Q$23=TRUE,Daten!K281=1)=TRUE,1,0)</f>
        <v>0</v>
      </c>
      <c r="I281" s="185">
        <f>IF(AND('Material+Limits'!$Q$22=TRUE,Daten!J281=1)=TRUE,1,0)</f>
        <v>0</v>
      </c>
      <c r="J281" s="155">
        <f>IF(Daten!$U281=13,1,0)</f>
        <v>0</v>
      </c>
      <c r="K281" s="156">
        <f>IF(Daten!$U281&lt;&gt;Daten!$V281,1,IF(Daten!$U281=14,1,0))</f>
        <v>1</v>
      </c>
      <c r="L281" s="156">
        <f>IF(Daten!$U281&lt;&gt;Daten!$V281,1,IF(Daten!$U281=16,1,0))</f>
        <v>0</v>
      </c>
      <c r="M281" s="156">
        <f>IF(Daten!$V281=17,1,0)</f>
        <v>0</v>
      </c>
      <c r="N281" s="157">
        <f ca="1">IF(Daten!$W281=Sprache!$A$60,1,0)</f>
        <v>0</v>
      </c>
      <c r="O281" s="169">
        <f>IF(AND(Daten!$AK281&lt;=KINVARO!$AW$3,Daten!$AL281&gt;=KINVARO!$AW$3)=TRUE,1,0)</f>
        <v>1</v>
      </c>
      <c r="P281" s="170">
        <f>IF(AND(Daten!$Z281&lt;=KINVARO!$AW$4,Daten!$AA281&gt;=KINVARO!$AW$4)=TRUE,1,0)</f>
        <v>0</v>
      </c>
      <c r="R281" s="170">
        <f>IF(AND(Daten!$AC281&lt;='Material+Limits'!$I$58,Daten!$AD281&gt;='Material+Limits'!$I$58)=TRUE,1,0)</f>
        <v>0</v>
      </c>
      <c r="S281" s="29">
        <f ca="1">IF(Daten!$X281=Sprache!$A$125,1,0)</f>
        <v>1</v>
      </c>
      <c r="T281" s="28" t="str">
        <f ca="1">Sprache!$A$58</f>
        <v>Podnośnik T-65</v>
      </c>
      <c r="U281" s="32">
        <v>14</v>
      </c>
      <c r="V281" s="29">
        <v>14</v>
      </c>
      <c r="W281" s="30">
        <f ca="1">Sprache!$A$131</f>
        <v>0</v>
      </c>
      <c r="X281" s="30">
        <f ca="1">Sprache!$A$126</f>
        <v>0</v>
      </c>
      <c r="Y281" s="30" t="str">
        <f ca="1">Sprache!$A$69</f>
        <v>Front</v>
      </c>
      <c r="Z281" s="30">
        <v>350</v>
      </c>
      <c r="AA281" s="28">
        <v>399</v>
      </c>
      <c r="AB281" s="30"/>
      <c r="AC281" s="31">
        <v>1.7</v>
      </c>
      <c r="AD281" s="53">
        <v>5.4</v>
      </c>
      <c r="AE281" s="30" t="s">
        <v>811</v>
      </c>
      <c r="AF281" s="30" t="str">
        <f ca="1">Sprache!$A$101</f>
        <v>Zestaw (prawy+lewy)</v>
      </c>
      <c r="AG281" s="30" t="s">
        <v>26</v>
      </c>
      <c r="AH281" s="30" t="str">
        <f ca="1">Sprache!$A$121</f>
        <v>Sprężyna czarna dwustronnie</v>
      </c>
      <c r="AI281" s="30" t="s">
        <v>26</v>
      </c>
      <c r="AJ281" s="30" t="s">
        <v>26</v>
      </c>
      <c r="AK281" s="30">
        <f>'Material+Limits'!$K$9</f>
        <v>200</v>
      </c>
      <c r="AL281" s="28">
        <v>1200</v>
      </c>
      <c r="AM281" s="30"/>
      <c r="AN281" s="28"/>
      <c r="AO281"/>
      <c r="AR281"/>
      <c r="AS281"/>
      <c r="AT281"/>
      <c r="AU281"/>
      <c r="AV281"/>
    </row>
    <row r="282" spans="1:48" x14ac:dyDescent="0.25">
      <c r="A282" t="str">
        <f t="shared" ca="1" si="9"/>
        <v/>
      </c>
      <c r="B282" t="str">
        <f t="shared" ca="1" si="8"/>
        <v/>
      </c>
      <c r="C282" s="79">
        <f>IF('Material+Limits'!$P$6=TRUE,1,0)</f>
        <v>0</v>
      </c>
      <c r="D282" s="39">
        <f>IF(Daten!$O282+Daten!$P282+Daten!$R282=3,1,0)</f>
        <v>0</v>
      </c>
      <c r="E282" s="184">
        <f ca="1">IF(AND('Material+Limits'!$Q$21=TRUE,Daten!N282=1)=TRUE,1,0)</f>
        <v>0</v>
      </c>
      <c r="F282" s="185">
        <f>IF(AND('Material+Limits'!$Q$25=TRUE,Daten!M282=1)=TRUE,1,0)</f>
        <v>0</v>
      </c>
      <c r="G282" s="185">
        <f>IF(AND('Material+Limits'!$Q$24=TRUE,Daten!L282=1)=TRUE,1,0)</f>
        <v>0</v>
      </c>
      <c r="H282" s="185">
        <f>IF(AND('Material+Limits'!$Q$23=TRUE,Daten!K282=1)=TRUE,1,0)</f>
        <v>0</v>
      </c>
      <c r="I282" s="185">
        <f>IF(AND('Material+Limits'!$Q$22=TRUE,Daten!J282=1)=TRUE,1,0)</f>
        <v>0</v>
      </c>
      <c r="J282" s="158">
        <f>IF(Daten!$U282=13,1,0)</f>
        <v>0</v>
      </c>
      <c r="K282" s="159">
        <f>IF(Daten!$U282&lt;&gt;Daten!$V282,1,IF(Daten!$U282=14,1,0))</f>
        <v>0</v>
      </c>
      <c r="L282" s="159">
        <f>IF(Daten!$U282&lt;&gt;Daten!$V282,1,IF(Daten!$U282=16,1,0))</f>
        <v>1</v>
      </c>
      <c r="M282" s="159">
        <f>IF(Daten!$V282=17,1,0)</f>
        <v>0</v>
      </c>
      <c r="N282" s="160">
        <f ca="1">IF(Daten!$W282=Sprache!$A$60,1,0)</f>
        <v>0</v>
      </c>
      <c r="O282" s="171">
        <f>IF(AND(Daten!$AK282&lt;=KINVARO!$AW$3,Daten!$AL282&gt;=KINVARO!$AW$3)=TRUE,1,0)</f>
        <v>1</v>
      </c>
      <c r="P282" s="172">
        <f>IF(AND(Daten!$Z282&lt;=KINVARO!$AW$4,Daten!$AA282&gt;=KINVARO!$AW$4)=TRUE,1,0)</f>
        <v>0</v>
      </c>
      <c r="Q282" s="172"/>
      <c r="R282" s="172">
        <f>IF(AND(Daten!$AC282&lt;='Material+Limits'!$I$58,Daten!$AD282&gt;='Material+Limits'!$I$58)=TRUE,1,0)</f>
        <v>0</v>
      </c>
      <c r="S282" s="23">
        <f ca="1">IF(Daten!$X282=Sprache!$A$125,1,0)</f>
        <v>1</v>
      </c>
      <c r="T282" s="24" t="str">
        <f ca="1">Sprache!$A$58</f>
        <v>Podnośnik T-65</v>
      </c>
      <c r="U282" s="27">
        <v>16</v>
      </c>
      <c r="V282" s="23">
        <v>16</v>
      </c>
      <c r="W282" s="25">
        <f ca="1">Sprache!$A$131</f>
        <v>0</v>
      </c>
      <c r="X282" s="25">
        <f ca="1">Sprache!$A$126</f>
        <v>0</v>
      </c>
      <c r="Y282" s="25" t="str">
        <f ca="1">Sprache!$A$69</f>
        <v>Front</v>
      </c>
      <c r="Z282" s="25">
        <v>350</v>
      </c>
      <c r="AA282" s="24">
        <v>399</v>
      </c>
      <c r="AB282" s="25"/>
      <c r="AC282" s="26">
        <v>1</v>
      </c>
      <c r="AD282" s="54">
        <v>2.9</v>
      </c>
      <c r="AE282" s="25" t="s">
        <v>812</v>
      </c>
      <c r="AF282" s="25" t="str">
        <f ca="1">Sprache!$A$101</f>
        <v>Zestaw (prawy+lewy)</v>
      </c>
      <c r="AG282" s="25" t="s">
        <v>26</v>
      </c>
      <c r="AH282" s="25" t="str">
        <f ca="1">Sprache!$A$120</f>
        <v>Sprężyna żółta dwustronnie</v>
      </c>
      <c r="AI282" s="25" t="s">
        <v>26</v>
      </c>
      <c r="AJ282" s="25" t="s">
        <v>26</v>
      </c>
      <c r="AK282" s="25">
        <f>'Material+Limits'!$K$9</f>
        <v>200</v>
      </c>
      <c r="AL282" s="24">
        <v>1200</v>
      </c>
      <c r="AM282" s="30"/>
      <c r="AN282" s="24"/>
      <c r="AO282"/>
      <c r="AR282"/>
      <c r="AS282"/>
      <c r="AT282"/>
      <c r="AU282"/>
      <c r="AV282"/>
    </row>
    <row r="283" spans="1:48" x14ac:dyDescent="0.25">
      <c r="A283" t="str">
        <f t="shared" ca="1" si="9"/>
        <v/>
      </c>
      <c r="B283" t="str">
        <f t="shared" ca="1" si="8"/>
        <v/>
      </c>
      <c r="C283" s="79">
        <f>IF('Material+Limits'!$P$6=TRUE,1,0)</f>
        <v>0</v>
      </c>
      <c r="D283" s="39">
        <f>IF(Daten!$O283+Daten!$P283+Daten!$R283=3,1,0)</f>
        <v>0</v>
      </c>
      <c r="E283" s="184">
        <f ca="1">IF(AND('Material+Limits'!$Q$21=TRUE,Daten!N283=1)=TRUE,1,0)</f>
        <v>0</v>
      </c>
      <c r="F283" s="185">
        <f>IF(AND('Material+Limits'!$Q$25=TRUE,Daten!M283=1)=TRUE,1,0)</f>
        <v>0</v>
      </c>
      <c r="G283" s="185">
        <f>IF(AND('Material+Limits'!$Q$24=TRUE,Daten!L283=1)=TRUE,1,0)</f>
        <v>0</v>
      </c>
      <c r="H283" s="185">
        <f>IF(AND('Material+Limits'!$Q$23=TRUE,Daten!K283=1)=TRUE,1,0)</f>
        <v>0</v>
      </c>
      <c r="I283" s="185">
        <f>IF(AND('Material+Limits'!$Q$22=TRUE,Daten!J283=1)=TRUE,1,0)</f>
        <v>0</v>
      </c>
      <c r="J283" s="155">
        <f>IF(Daten!$U283=13,1,0)</f>
        <v>0</v>
      </c>
      <c r="K283" s="156">
        <f>IF(Daten!$U283&lt;&gt;Daten!$V283,1,IF(Daten!$U283=14,1,0))</f>
        <v>0</v>
      </c>
      <c r="L283" s="156">
        <f>IF(Daten!$U283&lt;&gt;Daten!$V283,1,IF(Daten!$U283=16,1,0))</f>
        <v>1</v>
      </c>
      <c r="M283" s="156">
        <f>IF(Daten!$V283=17,1,0)</f>
        <v>0</v>
      </c>
      <c r="N283" s="157">
        <f ca="1">IF(Daten!$W283=Sprache!$A$60,1,0)</f>
        <v>0</v>
      </c>
      <c r="O283" s="169">
        <f>IF(AND(Daten!$AK283&lt;=KINVARO!$AW$3,Daten!$AL283&gt;=KINVARO!$AW$3)=TRUE,1,0)</f>
        <v>1</v>
      </c>
      <c r="P283" s="170">
        <f>IF(AND(Daten!$Z283&lt;=KINVARO!$AW$4,Daten!$AA283&gt;=KINVARO!$AW$4)=TRUE,1,0)</f>
        <v>0</v>
      </c>
      <c r="R283" s="170">
        <f>IF(AND(Daten!$AC283&lt;='Material+Limits'!$I$58,Daten!$AD283&gt;='Material+Limits'!$I$58)=TRUE,1,0)</f>
        <v>0</v>
      </c>
      <c r="S283" s="29">
        <f ca="1">IF(Daten!$X283=Sprache!$A$125,1,0)</f>
        <v>1</v>
      </c>
      <c r="T283" s="28" t="str">
        <f ca="1">Sprache!$A$58</f>
        <v>Podnośnik T-65</v>
      </c>
      <c r="U283" s="32">
        <v>16</v>
      </c>
      <c r="V283" s="29">
        <v>16</v>
      </c>
      <c r="W283" s="30">
        <f ca="1">Sprache!$A$131</f>
        <v>0</v>
      </c>
      <c r="X283" s="30">
        <f ca="1">Sprache!$A$126</f>
        <v>0</v>
      </c>
      <c r="Y283" s="30" t="str">
        <f ca="1">Sprache!$A$69</f>
        <v>Front</v>
      </c>
      <c r="Z283" s="30">
        <v>350</v>
      </c>
      <c r="AA283" s="28">
        <v>399</v>
      </c>
      <c r="AB283" s="30"/>
      <c r="AC283" s="31">
        <v>1.7</v>
      </c>
      <c r="AD283" s="53">
        <v>5.4</v>
      </c>
      <c r="AE283" s="30" t="s">
        <v>812</v>
      </c>
      <c r="AF283" s="30" t="str">
        <f ca="1">Sprache!$A$101</f>
        <v>Zestaw (prawy+lewy)</v>
      </c>
      <c r="AG283" s="30" t="s">
        <v>26</v>
      </c>
      <c r="AH283" s="30" t="str">
        <f ca="1">Sprache!$A$121</f>
        <v>Sprężyna czarna dwustronnie</v>
      </c>
      <c r="AI283" s="30" t="s">
        <v>26</v>
      </c>
      <c r="AJ283" s="30" t="s">
        <v>26</v>
      </c>
      <c r="AK283" s="30">
        <f>'Material+Limits'!$K$9</f>
        <v>200</v>
      </c>
      <c r="AL283" s="28">
        <v>1200</v>
      </c>
      <c r="AM283" s="30"/>
      <c r="AN283" s="28"/>
      <c r="AO283"/>
      <c r="AR283"/>
      <c r="AS283"/>
      <c r="AT283"/>
      <c r="AU283"/>
      <c r="AV283"/>
    </row>
    <row r="284" spans="1:48" x14ac:dyDescent="0.25">
      <c r="A284" t="str">
        <f t="shared" ca="1" si="9"/>
        <v/>
      </c>
      <c r="B284" t="str">
        <f t="shared" ca="1" si="8"/>
        <v/>
      </c>
      <c r="C284" s="79">
        <f>IF('Material+Limits'!$P$6=TRUE,1,0)</f>
        <v>0</v>
      </c>
      <c r="D284" s="39">
        <f>IF(Daten!$O284+Daten!$P284+Daten!$R284=3,1,0)</f>
        <v>0</v>
      </c>
      <c r="E284" s="184">
        <f ca="1">IF(AND('Material+Limits'!$Q$21=TRUE,Daten!N284=1)=TRUE,1,0)</f>
        <v>0</v>
      </c>
      <c r="F284" s="185">
        <f>IF(AND('Material+Limits'!$Q$25=TRUE,Daten!M284=1)=TRUE,1,0)</f>
        <v>0</v>
      </c>
      <c r="G284" s="185">
        <f>IF(AND('Material+Limits'!$Q$24=TRUE,Daten!L284=1)=TRUE,1,0)</f>
        <v>0</v>
      </c>
      <c r="H284" s="185">
        <f>IF(AND('Material+Limits'!$Q$23=TRUE,Daten!K284=1)=TRUE,1,0)</f>
        <v>0</v>
      </c>
      <c r="I284" s="185">
        <f>IF(AND('Material+Limits'!$Q$22=TRUE,Daten!J284=1)=TRUE,1,0)</f>
        <v>0</v>
      </c>
      <c r="J284" s="158">
        <f>IF(Daten!$U284=13,1,0)</f>
        <v>0</v>
      </c>
      <c r="K284" s="159">
        <f>IF(Daten!$U284&lt;&gt;Daten!$V284,1,IF(Daten!$U284=14,1,0))</f>
        <v>0</v>
      </c>
      <c r="L284" s="159">
        <f>IF(Daten!$U284&lt;&gt;Daten!$V284,1,IF(Daten!$U284=16,1,0))</f>
        <v>0</v>
      </c>
      <c r="M284" s="159">
        <f>IF(Daten!$V284=17,1,0)</f>
        <v>1</v>
      </c>
      <c r="N284" s="160">
        <f ca="1">IF(Daten!$W284=Sprache!$A$60,1,0)</f>
        <v>0</v>
      </c>
      <c r="O284" s="171">
        <f>IF(AND(Daten!$AK284&lt;=KINVARO!$AW$3,Daten!$AL284&gt;=KINVARO!$AW$3)=TRUE,1,0)</f>
        <v>1</v>
      </c>
      <c r="P284" s="172">
        <f>IF(AND(Daten!$Z284&lt;=KINVARO!$AW$4,Daten!$AA284&gt;=KINVARO!$AW$4)=TRUE,1,0)</f>
        <v>0</v>
      </c>
      <c r="Q284" s="172"/>
      <c r="R284" s="172">
        <f>IF(AND(Daten!$AC284&lt;='Material+Limits'!$I$58,Daten!$AD284&gt;='Material+Limits'!$I$58)=TRUE,1,0)</f>
        <v>0</v>
      </c>
      <c r="S284" s="23">
        <f ca="1">IF(Daten!$X284=Sprache!$A$125,1,0)</f>
        <v>1</v>
      </c>
      <c r="T284" s="24" t="str">
        <f ca="1">Sprache!$A$58</f>
        <v>Podnośnik T-65</v>
      </c>
      <c r="U284" s="27">
        <v>17</v>
      </c>
      <c r="V284" s="23">
        <v>17</v>
      </c>
      <c r="W284" s="25">
        <f ca="1">Sprache!$A$131</f>
        <v>0</v>
      </c>
      <c r="X284" s="25">
        <f ca="1">Sprache!$A$126</f>
        <v>0</v>
      </c>
      <c r="Y284" s="25" t="str">
        <f ca="1">Sprache!$A$69</f>
        <v>Front</v>
      </c>
      <c r="Z284" s="25">
        <v>350</v>
      </c>
      <c r="AA284" s="24">
        <v>399</v>
      </c>
      <c r="AB284" s="25"/>
      <c r="AC284" s="26">
        <v>1</v>
      </c>
      <c r="AD284" s="54">
        <v>2.9</v>
      </c>
      <c r="AE284" s="25" t="s">
        <v>813</v>
      </c>
      <c r="AF284" s="25" t="str">
        <f ca="1">Sprache!$A$101</f>
        <v>Zestaw (prawy+lewy)</v>
      </c>
      <c r="AG284" s="25" t="s">
        <v>26</v>
      </c>
      <c r="AH284" s="25" t="str">
        <f ca="1">Sprache!$A$120</f>
        <v>Sprężyna żółta dwustronnie</v>
      </c>
      <c r="AI284" s="25" t="s">
        <v>26</v>
      </c>
      <c r="AJ284" s="25" t="s">
        <v>26</v>
      </c>
      <c r="AK284" s="25">
        <f>'Material+Limits'!$K$9</f>
        <v>200</v>
      </c>
      <c r="AL284" s="24">
        <v>1200</v>
      </c>
      <c r="AM284" s="30"/>
      <c r="AN284" s="24"/>
      <c r="AO284"/>
      <c r="AR284"/>
      <c r="AS284"/>
      <c r="AT284"/>
      <c r="AU284"/>
      <c r="AV284"/>
    </row>
    <row r="285" spans="1:48" s="5" customFormat="1" x14ac:dyDescent="0.25">
      <c r="A285" t="str">
        <f t="shared" ca="1" si="9"/>
        <v/>
      </c>
      <c r="B285" t="str">
        <f t="shared" ca="1" si="8"/>
        <v/>
      </c>
      <c r="C285" s="79">
        <f>IF('Material+Limits'!$P$6=TRUE,1,0)</f>
        <v>0</v>
      </c>
      <c r="D285" s="39">
        <f>IF(Daten!$O285+Daten!$P285+Daten!$R285=3,1,0)</f>
        <v>0</v>
      </c>
      <c r="E285" s="184">
        <f ca="1">IF(AND('Material+Limits'!$Q$21=TRUE,Daten!N285=1)=TRUE,1,0)</f>
        <v>0</v>
      </c>
      <c r="F285" s="185">
        <f>IF(AND('Material+Limits'!$Q$25=TRUE,Daten!M285=1)=TRUE,1,0)</f>
        <v>0</v>
      </c>
      <c r="G285" s="185">
        <f>IF(AND('Material+Limits'!$Q$24=TRUE,Daten!L285=1)=TRUE,1,0)</f>
        <v>0</v>
      </c>
      <c r="H285" s="185">
        <f>IF(AND('Material+Limits'!$Q$23=TRUE,Daten!K285=1)=TRUE,1,0)</f>
        <v>0</v>
      </c>
      <c r="I285" s="185">
        <f>IF(AND('Material+Limits'!$Q$22=TRUE,Daten!J285=1)=TRUE,1,0)</f>
        <v>0</v>
      </c>
      <c r="J285" s="155">
        <f>IF(Daten!$U285=13,1,0)</f>
        <v>0</v>
      </c>
      <c r="K285" s="156">
        <f>IF(Daten!$U285&lt;&gt;Daten!$V285,1,IF(Daten!$U285=14,1,0))</f>
        <v>0</v>
      </c>
      <c r="L285" s="156">
        <f>IF(Daten!$U285&lt;&gt;Daten!$V285,1,IF(Daten!$U285=16,1,0))</f>
        <v>0</v>
      </c>
      <c r="M285" s="156">
        <f>IF(Daten!$V285=17,1,0)</f>
        <v>1</v>
      </c>
      <c r="N285" s="157">
        <f ca="1">IF(Daten!$W285=Sprache!$A$60,1,0)</f>
        <v>0</v>
      </c>
      <c r="O285" s="169">
        <f>IF(AND(Daten!$AK285&lt;=KINVARO!$AW$3,Daten!$AL285&gt;=KINVARO!$AW$3)=TRUE,1,0)</f>
        <v>1</v>
      </c>
      <c r="P285" s="170">
        <f>IF(AND(Daten!$Z285&lt;=KINVARO!$AW$4,Daten!$AA285&gt;=KINVARO!$AW$4)=TRUE,1,0)</f>
        <v>0</v>
      </c>
      <c r="Q285" s="170"/>
      <c r="R285" s="170">
        <f>IF(AND(Daten!$AC285&lt;='Material+Limits'!$I$58,Daten!$AD285&gt;='Material+Limits'!$I$58)=TRUE,1,0)</f>
        <v>0</v>
      </c>
      <c r="S285" s="29">
        <f ca="1">IF(Daten!$X285=Sprache!$A$125,1,0)</f>
        <v>1</v>
      </c>
      <c r="T285" s="28" t="str">
        <f ca="1">Sprache!$A$58</f>
        <v>Podnośnik T-65</v>
      </c>
      <c r="U285" s="32">
        <v>17</v>
      </c>
      <c r="V285" s="29">
        <v>17</v>
      </c>
      <c r="W285" s="30">
        <f ca="1">Sprache!$A$131</f>
        <v>0</v>
      </c>
      <c r="X285" s="30">
        <f ca="1">Sprache!$A$126</f>
        <v>0</v>
      </c>
      <c r="Y285" s="30" t="str">
        <f ca="1">Sprache!$A$69</f>
        <v>Front</v>
      </c>
      <c r="Z285" s="30">
        <v>350</v>
      </c>
      <c r="AA285" s="28">
        <v>399</v>
      </c>
      <c r="AB285" s="30"/>
      <c r="AC285" s="31">
        <v>1.7</v>
      </c>
      <c r="AD285" s="53">
        <v>5.4</v>
      </c>
      <c r="AE285" s="30" t="s">
        <v>813</v>
      </c>
      <c r="AF285" s="30" t="str">
        <f ca="1">Sprache!$A$101</f>
        <v>Zestaw (prawy+lewy)</v>
      </c>
      <c r="AG285" s="30" t="s">
        <v>26</v>
      </c>
      <c r="AH285" s="30" t="str">
        <f ca="1">Sprache!$A$121</f>
        <v>Sprężyna czarna dwustronnie</v>
      </c>
      <c r="AI285" s="30" t="s">
        <v>26</v>
      </c>
      <c r="AJ285" s="30" t="s">
        <v>26</v>
      </c>
      <c r="AK285" s="30">
        <f>'Material+Limits'!$K$9</f>
        <v>200</v>
      </c>
      <c r="AL285" s="28">
        <v>1200</v>
      </c>
      <c r="AM285" s="30"/>
      <c r="AN285" s="28"/>
    </row>
    <row r="286" spans="1:48" x14ac:dyDescent="0.25">
      <c r="A286" t="str">
        <f t="shared" ca="1" si="9"/>
        <v/>
      </c>
      <c r="B286" t="str">
        <f t="shared" ca="1" si="8"/>
        <v/>
      </c>
      <c r="C286" s="79">
        <f>IF('Material+Limits'!$P$6=TRUE,1,0)</f>
        <v>0</v>
      </c>
      <c r="D286" s="39">
        <f>IF(Daten!$O286+Daten!$P286+Daten!$R286=3,1,0)</f>
        <v>0</v>
      </c>
      <c r="E286" s="184">
        <f ca="1">IF(AND('Material+Limits'!$Q$21=TRUE,Daten!N286=1)=TRUE,1,0)</f>
        <v>1</v>
      </c>
      <c r="F286" s="185">
        <f ca="1">IF(AND('Material+Limits'!$Q$25=TRUE,Daten!M286=1)=TRUE,1,0)</f>
        <v>0</v>
      </c>
      <c r="G286" s="185">
        <f ca="1">IF(AND('Material+Limits'!$Q$24=TRUE,Daten!L286=1)=TRUE,1,0)</f>
        <v>0</v>
      </c>
      <c r="H286" s="185">
        <f ca="1">IF(AND('Material+Limits'!$Q$23=TRUE,Daten!K286=1)=TRUE,1,0)</f>
        <v>0</v>
      </c>
      <c r="I286" s="185">
        <f ca="1">IF(AND('Material+Limits'!$Q$22=TRUE,Daten!J286=1)=TRUE,1,0)</f>
        <v>0</v>
      </c>
      <c r="J286" s="158">
        <f ca="1">IF(Daten!$U286=13,1,0)</f>
        <v>0</v>
      </c>
      <c r="K286" s="159">
        <f ca="1">IF(Daten!$U286&lt;&gt;Daten!$V286,1,IF(Daten!$U286=14,1,0))</f>
        <v>0</v>
      </c>
      <c r="L286" s="159">
        <f ca="1">IF(Daten!$U286&lt;&gt;Daten!$V286,1,IF(Daten!$U286=16,1,0))</f>
        <v>0</v>
      </c>
      <c r="M286" s="159">
        <f ca="1">IF(Daten!$V286=17,1,0)</f>
        <v>0</v>
      </c>
      <c r="N286" s="160">
        <f ca="1">IF(Daten!$W286=Sprache!$A$60,1,0)</f>
        <v>1</v>
      </c>
      <c r="O286" s="173">
        <f>IF(AND(Daten!$AK286&lt;=KINVARO!$AW$3,Daten!$AL286&gt;=KINVARO!$AW$3)=TRUE,1,0)</f>
        <v>1</v>
      </c>
      <c r="P286" s="174">
        <f>IF(AND(Daten!$Z286&lt;=KINVARO!$AW$4,Daten!$AA286&gt;=KINVARO!$AW$4)=TRUE,1,0)</f>
        <v>0</v>
      </c>
      <c r="Q286" s="174"/>
      <c r="R286" s="174">
        <f>IF(AND(Daten!$AC286&lt;='Material+Limits'!$I$58,Daten!$AD286&gt;='Material+Limits'!$I$58)=TRUE,1,0)</f>
        <v>0</v>
      </c>
      <c r="S286" s="38">
        <f ca="1">IF(Daten!$X286=Sprache!$A$125,1,0)</f>
        <v>1</v>
      </c>
      <c r="T286" s="57" t="str">
        <f ca="1">Sprache!$A$58</f>
        <v>Podnośnik T-65</v>
      </c>
      <c r="U286" s="55">
        <f ca="1">Sprache!$A$64</f>
        <v>0</v>
      </c>
      <c r="V286" s="38">
        <f ca="1">Sprache!$A$64</f>
        <v>0</v>
      </c>
      <c r="W286" s="56" t="str">
        <f ca="1">Sprache!$A$60</f>
        <v>Front lity (drewno/płyta)</v>
      </c>
      <c r="X286" s="25">
        <f ca="1">Sprache!$A$126</f>
        <v>0</v>
      </c>
      <c r="Y286" s="56" t="str">
        <f ca="1">Sprache!$A$69</f>
        <v>Front</v>
      </c>
      <c r="Z286" s="56">
        <v>400</v>
      </c>
      <c r="AA286" s="57">
        <v>449</v>
      </c>
      <c r="AB286" s="56"/>
      <c r="AC286" s="58">
        <v>0.8</v>
      </c>
      <c r="AD286" s="59">
        <v>2.5</v>
      </c>
      <c r="AE286" s="56" t="s">
        <v>809</v>
      </c>
      <c r="AF286" s="56" t="str">
        <f ca="1">Sprache!$A$101</f>
        <v>Zestaw (prawy+lewy)</v>
      </c>
      <c r="AG286" s="56" t="s">
        <v>26</v>
      </c>
      <c r="AH286" s="56" t="str">
        <f ca="1">Sprache!$A$120</f>
        <v>Sprężyna żółta dwustronnie</v>
      </c>
      <c r="AI286" s="25" t="s">
        <v>26</v>
      </c>
      <c r="AJ286" s="25" t="s">
        <v>26</v>
      </c>
      <c r="AK286" s="56">
        <f>'Material+Limits'!$K$9</f>
        <v>200</v>
      </c>
      <c r="AL286" s="57">
        <v>1200</v>
      </c>
      <c r="AM286" s="30"/>
      <c r="AN286" s="24"/>
      <c r="AO286"/>
      <c r="AR286"/>
      <c r="AS286"/>
      <c r="AT286"/>
      <c r="AU286"/>
      <c r="AV286"/>
    </row>
    <row r="287" spans="1:48" x14ac:dyDescent="0.25">
      <c r="A287" t="str">
        <f t="shared" ca="1" si="9"/>
        <v/>
      </c>
      <c r="B287" t="str">
        <f t="shared" ca="1" si="8"/>
        <v/>
      </c>
      <c r="C287" s="79">
        <f>IF('Material+Limits'!$P$6=TRUE,1,0)</f>
        <v>0</v>
      </c>
      <c r="D287" s="39">
        <f>IF(Daten!$O287+Daten!$P287+Daten!$R287=3,1,0)</f>
        <v>0</v>
      </c>
      <c r="E287" s="184">
        <f ca="1">IF(AND('Material+Limits'!$Q$21=TRUE,Daten!N287=1)=TRUE,1,0)</f>
        <v>1</v>
      </c>
      <c r="F287" s="185">
        <f ca="1">IF(AND('Material+Limits'!$Q$25=TRUE,Daten!M287=1)=TRUE,1,0)</f>
        <v>0</v>
      </c>
      <c r="G287" s="185">
        <f ca="1">IF(AND('Material+Limits'!$Q$24=TRUE,Daten!L287=1)=TRUE,1,0)</f>
        <v>0</v>
      </c>
      <c r="H287" s="185">
        <f ca="1">IF(AND('Material+Limits'!$Q$23=TRUE,Daten!K287=1)=TRUE,1,0)</f>
        <v>0</v>
      </c>
      <c r="I287" s="185">
        <f ca="1">IF(AND('Material+Limits'!$Q$22=TRUE,Daten!J287=1)=TRUE,1,0)</f>
        <v>0</v>
      </c>
      <c r="J287" s="155">
        <f ca="1">IF(Daten!$U287=13,1,0)</f>
        <v>0</v>
      </c>
      <c r="K287" s="156">
        <f ca="1">IF(Daten!$U287&lt;&gt;Daten!$V287,1,IF(Daten!$U287=14,1,0))</f>
        <v>0</v>
      </c>
      <c r="L287" s="156">
        <f ca="1">IF(Daten!$U287&lt;&gt;Daten!$V287,1,IF(Daten!$U287=16,1,0))</f>
        <v>0</v>
      </c>
      <c r="M287" s="156">
        <f ca="1">IF(Daten!$V287=17,1,0)</f>
        <v>0</v>
      </c>
      <c r="N287" s="157">
        <f ca="1">IF(Daten!$W287=Sprache!$A$60,1,0)</f>
        <v>1</v>
      </c>
      <c r="O287" s="169">
        <f>IF(AND(Daten!$AK287&lt;=KINVARO!$AW$3,Daten!$AL287&gt;=KINVARO!$AW$3)=TRUE,1,0)</f>
        <v>1</v>
      </c>
      <c r="P287" s="170">
        <f>IF(AND(Daten!$Z287&lt;=KINVARO!$AW$4,Daten!$AA287&gt;=KINVARO!$AW$4)=TRUE,1,0)</f>
        <v>0</v>
      </c>
      <c r="R287" s="170">
        <f>IF(AND(Daten!$AC287&lt;='Material+Limits'!$I$58,Daten!$AD287&gt;='Material+Limits'!$I$58)=TRUE,1,0)</f>
        <v>0</v>
      </c>
      <c r="S287" s="29">
        <f ca="1">IF(Daten!$X287=Sprache!$A$125,1,0)</f>
        <v>1</v>
      </c>
      <c r="T287" s="28" t="str">
        <f ca="1">Sprache!$A$58</f>
        <v>Podnośnik T-65</v>
      </c>
      <c r="U287" s="32">
        <f ca="1">Sprache!$A$64</f>
        <v>0</v>
      </c>
      <c r="V287" s="29">
        <f ca="1">Sprache!$A$64</f>
        <v>0</v>
      </c>
      <c r="W287" s="30" t="str">
        <f ca="1">Sprache!$A$60</f>
        <v>Front lity (drewno/płyta)</v>
      </c>
      <c r="X287" s="30">
        <f ca="1">Sprache!$A$126</f>
        <v>0</v>
      </c>
      <c r="Y287" s="30" t="str">
        <f ca="1">Sprache!$A$69</f>
        <v>Front</v>
      </c>
      <c r="Z287" s="30">
        <v>400</v>
      </c>
      <c r="AA287" s="28">
        <v>449</v>
      </c>
      <c r="AB287" s="30"/>
      <c r="AC287" s="31">
        <v>1.5</v>
      </c>
      <c r="AD287" s="53">
        <v>4.7</v>
      </c>
      <c r="AE287" s="30" t="s">
        <v>809</v>
      </c>
      <c r="AF287" s="30" t="str">
        <f ca="1">Sprache!$A$101</f>
        <v>Zestaw (prawy+lewy)</v>
      </c>
      <c r="AG287" s="30" t="s">
        <v>26</v>
      </c>
      <c r="AH287" s="30" t="str">
        <f ca="1">Sprache!$A$121</f>
        <v>Sprężyna czarna dwustronnie</v>
      </c>
      <c r="AI287" s="30" t="s">
        <v>26</v>
      </c>
      <c r="AJ287" s="30" t="s">
        <v>26</v>
      </c>
      <c r="AK287" s="30">
        <f>'Material+Limits'!$K$9</f>
        <v>200</v>
      </c>
      <c r="AL287" s="28">
        <v>1200</v>
      </c>
      <c r="AM287" s="30"/>
      <c r="AN287" s="28"/>
      <c r="AO287"/>
      <c r="AR287"/>
      <c r="AS287"/>
      <c r="AT287"/>
      <c r="AU287"/>
      <c r="AV287"/>
    </row>
    <row r="288" spans="1:48" x14ac:dyDescent="0.25">
      <c r="A288" t="str">
        <f t="shared" ca="1" si="9"/>
        <v/>
      </c>
      <c r="B288" t="str">
        <f t="shared" ca="1" si="8"/>
        <v/>
      </c>
      <c r="C288" s="79">
        <f>IF('Material+Limits'!$P$6=TRUE,1,0)</f>
        <v>0</v>
      </c>
      <c r="D288" s="39">
        <f>IF(Daten!$O288+Daten!$P288+Daten!$R288=3,1,0)</f>
        <v>0</v>
      </c>
      <c r="E288" s="184">
        <f ca="1">IF(AND('Material+Limits'!$Q$21=TRUE,Daten!N288=1)=TRUE,1,0)</f>
        <v>0</v>
      </c>
      <c r="F288" s="185">
        <f>IF(AND('Material+Limits'!$Q$25=TRUE,Daten!M288=1)=TRUE,1,0)</f>
        <v>0</v>
      </c>
      <c r="G288" s="185">
        <f>IF(AND('Material+Limits'!$Q$24=TRUE,Daten!L288=1)=TRUE,1,0)</f>
        <v>0</v>
      </c>
      <c r="H288" s="185">
        <f>IF(AND('Material+Limits'!$Q$23=TRUE,Daten!K288=1)=TRUE,1,0)</f>
        <v>0</v>
      </c>
      <c r="I288" s="185">
        <f>IF(AND('Material+Limits'!$Q$22=TRUE,Daten!J288=1)=TRUE,1,0)</f>
        <v>0</v>
      </c>
      <c r="J288" s="158">
        <f>IF(Daten!$U288=13,1,0)</f>
        <v>1</v>
      </c>
      <c r="K288" s="159">
        <f>IF(Daten!$U288&lt;&gt;Daten!$V288,1,IF(Daten!$U288=14,1,0))</f>
        <v>0</v>
      </c>
      <c r="L288" s="159">
        <f>IF(Daten!$U288&lt;&gt;Daten!$V288,1,IF(Daten!$U288=16,1,0))</f>
        <v>0</v>
      </c>
      <c r="M288" s="159">
        <f>IF(Daten!$V288=17,1,0)</f>
        <v>0</v>
      </c>
      <c r="N288" s="160">
        <f ca="1">IF(Daten!$W288=Sprache!$A$60,1,0)</f>
        <v>0</v>
      </c>
      <c r="O288" s="171">
        <f>IF(AND(Daten!$AK288&lt;=KINVARO!$AW$3,Daten!$AL288&gt;=KINVARO!$AW$3)=TRUE,1,0)</f>
        <v>1</v>
      </c>
      <c r="P288" s="172">
        <f>IF(AND(Daten!$Z288&lt;=KINVARO!$AW$4,Daten!$AA288&gt;=KINVARO!$AW$4)=TRUE,1,0)</f>
        <v>0</v>
      </c>
      <c r="Q288" s="172"/>
      <c r="R288" s="172">
        <f>IF(AND(Daten!$AC288&lt;='Material+Limits'!$I$58,Daten!$AD288&gt;='Material+Limits'!$I$58)=TRUE,1,0)</f>
        <v>0</v>
      </c>
      <c r="S288" s="23">
        <f ca="1">IF(Daten!$X288=Sprache!$A$125,1,0)</f>
        <v>1</v>
      </c>
      <c r="T288" s="24" t="str">
        <f ca="1">Sprache!$A$58</f>
        <v>Podnośnik T-65</v>
      </c>
      <c r="U288" s="27">
        <v>13</v>
      </c>
      <c r="V288" s="23">
        <v>13</v>
      </c>
      <c r="W288" s="25">
        <f ca="1">Sprache!$A$131</f>
        <v>0</v>
      </c>
      <c r="X288" s="25">
        <f ca="1">Sprache!$A$126</f>
        <v>0</v>
      </c>
      <c r="Y288" s="25" t="str">
        <f ca="1">Sprache!$A$69</f>
        <v>Front</v>
      </c>
      <c r="Z288" s="25">
        <v>400</v>
      </c>
      <c r="AA288" s="24">
        <v>449</v>
      </c>
      <c r="AB288" s="25"/>
      <c r="AC288" s="26">
        <v>0.8</v>
      </c>
      <c r="AD288" s="54">
        <v>2.5</v>
      </c>
      <c r="AE288" s="25" t="s">
        <v>810</v>
      </c>
      <c r="AF288" s="25" t="str">
        <f ca="1">Sprache!$A$101</f>
        <v>Zestaw (prawy+lewy)</v>
      </c>
      <c r="AG288" s="25" t="s">
        <v>26</v>
      </c>
      <c r="AH288" s="25" t="str">
        <f ca="1">Sprache!$A$120</f>
        <v>Sprężyna żółta dwustronnie</v>
      </c>
      <c r="AI288" s="25" t="s">
        <v>26</v>
      </c>
      <c r="AJ288" s="25" t="s">
        <v>26</v>
      </c>
      <c r="AK288" s="25">
        <f>'Material+Limits'!$K$9</f>
        <v>200</v>
      </c>
      <c r="AL288" s="24">
        <v>1200</v>
      </c>
      <c r="AM288" s="30"/>
      <c r="AN288" s="24"/>
      <c r="AO288"/>
      <c r="AR288"/>
      <c r="AS288"/>
      <c r="AT288"/>
      <c r="AU288"/>
      <c r="AV288"/>
    </row>
    <row r="289" spans="1:48" x14ac:dyDescent="0.25">
      <c r="A289" t="str">
        <f t="shared" ca="1" si="9"/>
        <v/>
      </c>
      <c r="B289" t="str">
        <f t="shared" ca="1" si="8"/>
        <v/>
      </c>
      <c r="C289" s="79">
        <f>IF('Material+Limits'!$P$6=TRUE,1,0)</f>
        <v>0</v>
      </c>
      <c r="D289" s="39">
        <f>IF(Daten!$O289+Daten!$P289+Daten!$R289=3,1,0)</f>
        <v>0</v>
      </c>
      <c r="E289" s="184">
        <f ca="1">IF(AND('Material+Limits'!$Q$21=TRUE,Daten!N289=1)=TRUE,1,0)</f>
        <v>0</v>
      </c>
      <c r="F289" s="185">
        <f>IF(AND('Material+Limits'!$Q$25=TRUE,Daten!M289=1)=TRUE,1,0)</f>
        <v>0</v>
      </c>
      <c r="G289" s="185">
        <f>IF(AND('Material+Limits'!$Q$24=TRUE,Daten!L289=1)=TRUE,1,0)</f>
        <v>0</v>
      </c>
      <c r="H289" s="185">
        <f>IF(AND('Material+Limits'!$Q$23=TRUE,Daten!K289=1)=TRUE,1,0)</f>
        <v>0</v>
      </c>
      <c r="I289" s="185">
        <f>IF(AND('Material+Limits'!$Q$22=TRUE,Daten!J289=1)=TRUE,1,0)</f>
        <v>0</v>
      </c>
      <c r="J289" s="155">
        <f>IF(Daten!$U289=13,1,0)</f>
        <v>1</v>
      </c>
      <c r="K289" s="156">
        <f>IF(Daten!$U289&lt;&gt;Daten!$V289,1,IF(Daten!$U289=14,1,0))</f>
        <v>0</v>
      </c>
      <c r="L289" s="156">
        <f>IF(Daten!$U289&lt;&gt;Daten!$V289,1,IF(Daten!$U289=16,1,0))</f>
        <v>0</v>
      </c>
      <c r="M289" s="156">
        <f>IF(Daten!$V289=17,1,0)</f>
        <v>0</v>
      </c>
      <c r="N289" s="157">
        <f ca="1">IF(Daten!$W289=Sprache!$A$60,1,0)</f>
        <v>0</v>
      </c>
      <c r="O289" s="169">
        <f>IF(AND(Daten!$AK289&lt;=KINVARO!$AW$3,Daten!$AL289&gt;=KINVARO!$AW$3)=TRUE,1,0)</f>
        <v>1</v>
      </c>
      <c r="P289" s="170">
        <f>IF(AND(Daten!$Z289&lt;=KINVARO!$AW$4,Daten!$AA289&gt;=KINVARO!$AW$4)=TRUE,1,0)</f>
        <v>0</v>
      </c>
      <c r="R289" s="170">
        <f>IF(AND(Daten!$AC289&lt;='Material+Limits'!$I$58,Daten!$AD289&gt;='Material+Limits'!$I$58)=TRUE,1,0)</f>
        <v>0</v>
      </c>
      <c r="S289" s="29">
        <f ca="1">IF(Daten!$X289=Sprache!$A$125,1,0)</f>
        <v>1</v>
      </c>
      <c r="T289" s="28" t="str">
        <f ca="1">Sprache!$A$58</f>
        <v>Podnośnik T-65</v>
      </c>
      <c r="U289" s="32">
        <v>13</v>
      </c>
      <c r="V289" s="29">
        <v>13</v>
      </c>
      <c r="W289" s="30">
        <f ca="1">Sprache!$A$131</f>
        <v>0</v>
      </c>
      <c r="X289" s="30">
        <f ca="1">Sprache!$A$126</f>
        <v>0</v>
      </c>
      <c r="Y289" s="30" t="str">
        <f ca="1">Sprache!$A$69</f>
        <v>Front</v>
      </c>
      <c r="Z289" s="30">
        <v>400</v>
      </c>
      <c r="AA289" s="28">
        <v>449</v>
      </c>
      <c r="AB289" s="30"/>
      <c r="AC289" s="31">
        <v>1.5</v>
      </c>
      <c r="AD289" s="53">
        <v>4.7</v>
      </c>
      <c r="AE289" s="30" t="s">
        <v>810</v>
      </c>
      <c r="AF289" s="30" t="str">
        <f ca="1">Sprache!$A$101</f>
        <v>Zestaw (prawy+lewy)</v>
      </c>
      <c r="AG289" s="30" t="s">
        <v>26</v>
      </c>
      <c r="AH289" s="30" t="str">
        <f ca="1">Sprache!$A$121</f>
        <v>Sprężyna czarna dwustronnie</v>
      </c>
      <c r="AI289" s="30" t="s">
        <v>26</v>
      </c>
      <c r="AJ289" s="30" t="s">
        <v>26</v>
      </c>
      <c r="AK289" s="30">
        <f>'Material+Limits'!$K$9</f>
        <v>200</v>
      </c>
      <c r="AL289" s="28">
        <v>1200</v>
      </c>
      <c r="AM289" s="30"/>
      <c r="AN289" s="28"/>
      <c r="AO289"/>
      <c r="AR289"/>
      <c r="AS289"/>
      <c r="AT289"/>
      <c r="AU289"/>
      <c r="AV289"/>
    </row>
    <row r="290" spans="1:48" x14ac:dyDescent="0.25">
      <c r="A290" t="str">
        <f t="shared" ca="1" si="9"/>
        <v/>
      </c>
      <c r="B290" t="str">
        <f t="shared" ca="1" si="8"/>
        <v/>
      </c>
      <c r="C290" s="79">
        <f>IF('Material+Limits'!$P$6=TRUE,1,0)</f>
        <v>0</v>
      </c>
      <c r="D290" s="39">
        <f>IF(Daten!$O290+Daten!$P290+Daten!$R290=3,1,0)</f>
        <v>0</v>
      </c>
      <c r="E290" s="184">
        <f ca="1">IF(AND('Material+Limits'!$Q$21=TRUE,Daten!N290=1)=TRUE,1,0)</f>
        <v>0</v>
      </c>
      <c r="F290" s="185">
        <f>IF(AND('Material+Limits'!$Q$25=TRUE,Daten!M290=1)=TRUE,1,0)</f>
        <v>0</v>
      </c>
      <c r="G290" s="185">
        <f>IF(AND('Material+Limits'!$Q$24=TRUE,Daten!L290=1)=TRUE,1,0)</f>
        <v>0</v>
      </c>
      <c r="H290" s="185">
        <f>IF(AND('Material+Limits'!$Q$23=TRUE,Daten!K290=1)=TRUE,1,0)</f>
        <v>0</v>
      </c>
      <c r="I290" s="185">
        <f>IF(AND('Material+Limits'!$Q$22=TRUE,Daten!J290=1)=TRUE,1,0)</f>
        <v>0</v>
      </c>
      <c r="J290" s="158">
        <f>IF(Daten!$U290=13,1,0)</f>
        <v>0</v>
      </c>
      <c r="K290" s="159">
        <f>IF(Daten!$U290&lt;&gt;Daten!$V290,1,IF(Daten!$U290=14,1,0))</f>
        <v>1</v>
      </c>
      <c r="L290" s="159">
        <f>IF(Daten!$U290&lt;&gt;Daten!$V290,1,IF(Daten!$U290=16,1,0))</f>
        <v>0</v>
      </c>
      <c r="M290" s="159">
        <f>IF(Daten!$V290=17,1,0)</f>
        <v>0</v>
      </c>
      <c r="N290" s="160">
        <f ca="1">IF(Daten!$W290=Sprache!$A$60,1,0)</f>
        <v>0</v>
      </c>
      <c r="O290" s="171">
        <f>IF(AND(Daten!$AK290&lt;=KINVARO!$AW$3,Daten!$AL290&gt;=KINVARO!$AW$3)=TRUE,1,0)</f>
        <v>1</v>
      </c>
      <c r="P290" s="172">
        <f>IF(AND(Daten!$Z290&lt;=KINVARO!$AW$4,Daten!$AA290&gt;=KINVARO!$AW$4)=TRUE,1,0)</f>
        <v>0</v>
      </c>
      <c r="Q290" s="172"/>
      <c r="R290" s="172">
        <f>IF(AND(Daten!$AC290&lt;='Material+Limits'!$I$58,Daten!$AD290&gt;='Material+Limits'!$I$58)=TRUE,1,0)</f>
        <v>0</v>
      </c>
      <c r="S290" s="23">
        <f ca="1">IF(Daten!$X290=Sprache!$A$125,1,0)</f>
        <v>1</v>
      </c>
      <c r="T290" s="24" t="str">
        <f ca="1">Sprache!$A$58</f>
        <v>Podnośnik T-65</v>
      </c>
      <c r="U290" s="27">
        <v>14</v>
      </c>
      <c r="V290" s="23">
        <v>14</v>
      </c>
      <c r="W290" s="25">
        <f ca="1">Sprache!$A$131</f>
        <v>0</v>
      </c>
      <c r="X290" s="25">
        <f ca="1">Sprache!$A$126</f>
        <v>0</v>
      </c>
      <c r="Y290" s="25" t="str">
        <f ca="1">Sprache!$A$69</f>
        <v>Front</v>
      </c>
      <c r="Z290" s="25">
        <v>400</v>
      </c>
      <c r="AA290" s="24">
        <v>449</v>
      </c>
      <c r="AB290" s="25"/>
      <c r="AC290" s="26">
        <v>0.8</v>
      </c>
      <c r="AD290" s="54">
        <v>2.5</v>
      </c>
      <c r="AE290" s="25" t="s">
        <v>811</v>
      </c>
      <c r="AF290" s="25" t="str">
        <f ca="1">Sprache!$A$101</f>
        <v>Zestaw (prawy+lewy)</v>
      </c>
      <c r="AG290" s="25" t="s">
        <v>26</v>
      </c>
      <c r="AH290" s="25" t="str">
        <f ca="1">Sprache!$A$120</f>
        <v>Sprężyna żółta dwustronnie</v>
      </c>
      <c r="AI290" s="25" t="s">
        <v>26</v>
      </c>
      <c r="AJ290" s="25" t="s">
        <v>26</v>
      </c>
      <c r="AK290" s="25">
        <f>'Material+Limits'!$K$9</f>
        <v>200</v>
      </c>
      <c r="AL290" s="24">
        <v>1200</v>
      </c>
      <c r="AM290" s="30"/>
      <c r="AN290" s="24"/>
      <c r="AO290"/>
      <c r="AR290"/>
      <c r="AS290"/>
      <c r="AT290"/>
      <c r="AU290"/>
      <c r="AV290"/>
    </row>
    <row r="291" spans="1:48" x14ac:dyDescent="0.25">
      <c r="A291" t="str">
        <f t="shared" ca="1" si="9"/>
        <v/>
      </c>
      <c r="B291" t="str">
        <f t="shared" ca="1" si="8"/>
        <v/>
      </c>
      <c r="C291" s="79">
        <f>IF('Material+Limits'!$P$6=TRUE,1,0)</f>
        <v>0</v>
      </c>
      <c r="D291" s="39">
        <f>IF(Daten!$O291+Daten!$P291+Daten!$R291=3,1,0)</f>
        <v>0</v>
      </c>
      <c r="E291" s="184">
        <f ca="1">IF(AND('Material+Limits'!$Q$21=TRUE,Daten!N291=1)=TRUE,1,0)</f>
        <v>0</v>
      </c>
      <c r="F291" s="185">
        <f>IF(AND('Material+Limits'!$Q$25=TRUE,Daten!M291=1)=TRUE,1,0)</f>
        <v>0</v>
      </c>
      <c r="G291" s="185">
        <f>IF(AND('Material+Limits'!$Q$24=TRUE,Daten!L291=1)=TRUE,1,0)</f>
        <v>0</v>
      </c>
      <c r="H291" s="185">
        <f>IF(AND('Material+Limits'!$Q$23=TRUE,Daten!K291=1)=TRUE,1,0)</f>
        <v>0</v>
      </c>
      <c r="I291" s="185">
        <f>IF(AND('Material+Limits'!$Q$22=TRUE,Daten!J291=1)=TRUE,1,0)</f>
        <v>0</v>
      </c>
      <c r="J291" s="155">
        <f>IF(Daten!$U291=13,1,0)</f>
        <v>0</v>
      </c>
      <c r="K291" s="156">
        <f>IF(Daten!$U291&lt;&gt;Daten!$V291,1,IF(Daten!$U291=14,1,0))</f>
        <v>1</v>
      </c>
      <c r="L291" s="156">
        <f>IF(Daten!$U291&lt;&gt;Daten!$V291,1,IF(Daten!$U291=16,1,0))</f>
        <v>0</v>
      </c>
      <c r="M291" s="156">
        <f>IF(Daten!$V291=17,1,0)</f>
        <v>0</v>
      </c>
      <c r="N291" s="157">
        <f ca="1">IF(Daten!$W291=Sprache!$A$60,1,0)</f>
        <v>0</v>
      </c>
      <c r="O291" s="169">
        <f>IF(AND(Daten!$AK291&lt;=KINVARO!$AW$3,Daten!$AL291&gt;=KINVARO!$AW$3)=TRUE,1,0)</f>
        <v>1</v>
      </c>
      <c r="P291" s="170">
        <f>IF(AND(Daten!$Z291&lt;=KINVARO!$AW$4,Daten!$AA291&gt;=KINVARO!$AW$4)=TRUE,1,0)</f>
        <v>0</v>
      </c>
      <c r="R291" s="170">
        <f>IF(AND(Daten!$AC291&lt;='Material+Limits'!$I$58,Daten!$AD291&gt;='Material+Limits'!$I$58)=TRUE,1,0)</f>
        <v>0</v>
      </c>
      <c r="S291" s="29">
        <f ca="1">IF(Daten!$X291=Sprache!$A$125,1,0)</f>
        <v>1</v>
      </c>
      <c r="T291" s="28" t="str">
        <f ca="1">Sprache!$A$58</f>
        <v>Podnośnik T-65</v>
      </c>
      <c r="U291" s="32">
        <v>14</v>
      </c>
      <c r="V291" s="29">
        <v>14</v>
      </c>
      <c r="W291" s="30">
        <f ca="1">Sprache!$A$131</f>
        <v>0</v>
      </c>
      <c r="X291" s="30">
        <f ca="1">Sprache!$A$126</f>
        <v>0</v>
      </c>
      <c r="Y291" s="30" t="str">
        <f ca="1">Sprache!$A$69</f>
        <v>Front</v>
      </c>
      <c r="Z291" s="30">
        <v>400</v>
      </c>
      <c r="AA291" s="28">
        <v>449</v>
      </c>
      <c r="AB291" s="30"/>
      <c r="AC291" s="31">
        <v>1.5</v>
      </c>
      <c r="AD291" s="53">
        <v>4.7</v>
      </c>
      <c r="AE291" s="30" t="s">
        <v>811</v>
      </c>
      <c r="AF291" s="30" t="str">
        <f ca="1">Sprache!$A$101</f>
        <v>Zestaw (prawy+lewy)</v>
      </c>
      <c r="AG291" s="30" t="s">
        <v>26</v>
      </c>
      <c r="AH291" s="30" t="str">
        <f ca="1">Sprache!$A$121</f>
        <v>Sprężyna czarna dwustronnie</v>
      </c>
      <c r="AI291" s="30" t="s">
        <v>26</v>
      </c>
      <c r="AJ291" s="30" t="s">
        <v>26</v>
      </c>
      <c r="AK291" s="30">
        <f>'Material+Limits'!$K$9</f>
        <v>200</v>
      </c>
      <c r="AL291" s="28">
        <v>1200</v>
      </c>
      <c r="AM291" s="30"/>
      <c r="AN291" s="28"/>
      <c r="AO291"/>
      <c r="AR291"/>
      <c r="AS291"/>
      <c r="AT291"/>
      <c r="AU291"/>
      <c r="AV291"/>
    </row>
    <row r="292" spans="1:48" x14ac:dyDescent="0.25">
      <c r="A292" t="str">
        <f t="shared" ca="1" si="9"/>
        <v/>
      </c>
      <c r="B292" t="str">
        <f t="shared" ca="1" si="8"/>
        <v/>
      </c>
      <c r="C292" s="79">
        <f>IF('Material+Limits'!$P$6=TRUE,1,0)</f>
        <v>0</v>
      </c>
      <c r="D292" s="39">
        <f>IF(Daten!$O292+Daten!$P292+Daten!$R292=3,1,0)</f>
        <v>0</v>
      </c>
      <c r="E292" s="184">
        <f ca="1">IF(AND('Material+Limits'!$Q$21=TRUE,Daten!N292=1)=TRUE,1,0)</f>
        <v>0</v>
      </c>
      <c r="F292" s="185">
        <f>IF(AND('Material+Limits'!$Q$25=TRUE,Daten!M292=1)=TRUE,1,0)</f>
        <v>0</v>
      </c>
      <c r="G292" s="185">
        <f>IF(AND('Material+Limits'!$Q$24=TRUE,Daten!L292=1)=TRUE,1,0)</f>
        <v>0</v>
      </c>
      <c r="H292" s="185">
        <f>IF(AND('Material+Limits'!$Q$23=TRUE,Daten!K292=1)=TRUE,1,0)</f>
        <v>0</v>
      </c>
      <c r="I292" s="185">
        <f>IF(AND('Material+Limits'!$Q$22=TRUE,Daten!J292=1)=TRUE,1,0)</f>
        <v>0</v>
      </c>
      <c r="J292" s="158">
        <f>IF(Daten!$U292=13,1,0)</f>
        <v>0</v>
      </c>
      <c r="K292" s="159">
        <f>IF(Daten!$U292&lt;&gt;Daten!$V292,1,IF(Daten!$U292=14,1,0))</f>
        <v>0</v>
      </c>
      <c r="L292" s="159">
        <f>IF(Daten!$U292&lt;&gt;Daten!$V292,1,IF(Daten!$U292=16,1,0))</f>
        <v>1</v>
      </c>
      <c r="M292" s="159">
        <f>IF(Daten!$V292=17,1,0)</f>
        <v>0</v>
      </c>
      <c r="N292" s="160">
        <f ca="1">IF(Daten!$W292=Sprache!$A$60,1,0)</f>
        <v>0</v>
      </c>
      <c r="O292" s="171">
        <f>IF(AND(Daten!$AK292&lt;=KINVARO!$AW$3,Daten!$AL292&gt;=KINVARO!$AW$3)=TRUE,1,0)</f>
        <v>1</v>
      </c>
      <c r="P292" s="172">
        <f>IF(AND(Daten!$Z292&lt;=KINVARO!$AW$4,Daten!$AA292&gt;=KINVARO!$AW$4)=TRUE,1,0)</f>
        <v>0</v>
      </c>
      <c r="Q292" s="172"/>
      <c r="R292" s="172">
        <f>IF(AND(Daten!$AC292&lt;='Material+Limits'!$I$58,Daten!$AD292&gt;='Material+Limits'!$I$58)=TRUE,1,0)</f>
        <v>0</v>
      </c>
      <c r="S292" s="23">
        <f ca="1">IF(Daten!$X292=Sprache!$A$125,1,0)</f>
        <v>1</v>
      </c>
      <c r="T292" s="24" t="str">
        <f ca="1">Sprache!$A$58</f>
        <v>Podnośnik T-65</v>
      </c>
      <c r="U292" s="27">
        <v>16</v>
      </c>
      <c r="V292" s="23">
        <v>16</v>
      </c>
      <c r="W292" s="25">
        <f ca="1">Sprache!$A$131</f>
        <v>0</v>
      </c>
      <c r="X292" s="25">
        <f ca="1">Sprache!$A$126</f>
        <v>0</v>
      </c>
      <c r="Y292" s="25" t="str">
        <f ca="1">Sprache!$A$69</f>
        <v>Front</v>
      </c>
      <c r="Z292" s="25">
        <v>400</v>
      </c>
      <c r="AA292" s="24">
        <v>449</v>
      </c>
      <c r="AB292" s="25"/>
      <c r="AC292" s="26">
        <v>0.8</v>
      </c>
      <c r="AD292" s="54">
        <v>2.5</v>
      </c>
      <c r="AE292" s="25" t="s">
        <v>812</v>
      </c>
      <c r="AF292" s="25" t="str">
        <f ca="1">Sprache!$A$101</f>
        <v>Zestaw (prawy+lewy)</v>
      </c>
      <c r="AG292" s="25" t="s">
        <v>26</v>
      </c>
      <c r="AH292" s="25" t="str">
        <f ca="1">Sprache!$A$120</f>
        <v>Sprężyna żółta dwustronnie</v>
      </c>
      <c r="AI292" s="25" t="s">
        <v>26</v>
      </c>
      <c r="AJ292" s="25" t="s">
        <v>26</v>
      </c>
      <c r="AK292" s="25">
        <f>'Material+Limits'!$K$9</f>
        <v>200</v>
      </c>
      <c r="AL292" s="24">
        <v>1200</v>
      </c>
      <c r="AM292" s="30"/>
      <c r="AN292" s="24"/>
      <c r="AO292"/>
      <c r="AR292"/>
      <c r="AS292"/>
      <c r="AT292"/>
      <c r="AU292"/>
      <c r="AV292"/>
    </row>
    <row r="293" spans="1:48" x14ac:dyDescent="0.25">
      <c r="A293" t="str">
        <f t="shared" ca="1" si="9"/>
        <v/>
      </c>
      <c r="B293" t="str">
        <f t="shared" ca="1" si="8"/>
        <v/>
      </c>
      <c r="C293" s="79">
        <f>IF('Material+Limits'!$P$6=TRUE,1,0)</f>
        <v>0</v>
      </c>
      <c r="D293" s="39">
        <f>IF(Daten!$O293+Daten!$P293+Daten!$R293=3,1,0)</f>
        <v>0</v>
      </c>
      <c r="E293" s="184">
        <f ca="1">IF(AND('Material+Limits'!$Q$21=TRUE,Daten!N293=1)=TRUE,1,0)</f>
        <v>0</v>
      </c>
      <c r="F293" s="185">
        <f>IF(AND('Material+Limits'!$Q$25=TRUE,Daten!M293=1)=TRUE,1,0)</f>
        <v>0</v>
      </c>
      <c r="G293" s="185">
        <f>IF(AND('Material+Limits'!$Q$24=TRUE,Daten!L293=1)=TRUE,1,0)</f>
        <v>0</v>
      </c>
      <c r="H293" s="185">
        <f>IF(AND('Material+Limits'!$Q$23=TRUE,Daten!K293=1)=TRUE,1,0)</f>
        <v>0</v>
      </c>
      <c r="I293" s="185">
        <f>IF(AND('Material+Limits'!$Q$22=TRUE,Daten!J293=1)=TRUE,1,0)</f>
        <v>0</v>
      </c>
      <c r="J293" s="155">
        <f>IF(Daten!$U293=13,1,0)</f>
        <v>0</v>
      </c>
      <c r="K293" s="156">
        <f>IF(Daten!$U293&lt;&gt;Daten!$V293,1,IF(Daten!$U293=14,1,0))</f>
        <v>0</v>
      </c>
      <c r="L293" s="156">
        <f>IF(Daten!$U293&lt;&gt;Daten!$V293,1,IF(Daten!$U293=16,1,0))</f>
        <v>1</v>
      </c>
      <c r="M293" s="156">
        <f>IF(Daten!$V293=17,1,0)</f>
        <v>0</v>
      </c>
      <c r="N293" s="157">
        <f ca="1">IF(Daten!$W293=Sprache!$A$60,1,0)</f>
        <v>0</v>
      </c>
      <c r="O293" s="169">
        <f>IF(AND(Daten!$AK293&lt;=KINVARO!$AW$3,Daten!$AL293&gt;=KINVARO!$AW$3)=TRUE,1,0)</f>
        <v>1</v>
      </c>
      <c r="P293" s="170">
        <f>IF(AND(Daten!$Z293&lt;=KINVARO!$AW$4,Daten!$AA293&gt;=KINVARO!$AW$4)=TRUE,1,0)</f>
        <v>0</v>
      </c>
      <c r="R293" s="170">
        <f>IF(AND(Daten!$AC293&lt;='Material+Limits'!$I$58,Daten!$AD293&gt;='Material+Limits'!$I$58)=TRUE,1,0)</f>
        <v>0</v>
      </c>
      <c r="S293" s="29">
        <f ca="1">IF(Daten!$X293=Sprache!$A$125,1,0)</f>
        <v>1</v>
      </c>
      <c r="T293" s="28" t="str">
        <f ca="1">Sprache!$A$58</f>
        <v>Podnośnik T-65</v>
      </c>
      <c r="U293" s="32">
        <v>16</v>
      </c>
      <c r="V293" s="29">
        <v>16</v>
      </c>
      <c r="W293" s="30">
        <f ca="1">Sprache!$A$131</f>
        <v>0</v>
      </c>
      <c r="X293" s="30">
        <f ca="1">Sprache!$A$126</f>
        <v>0</v>
      </c>
      <c r="Y293" s="30" t="str">
        <f ca="1">Sprache!$A$69</f>
        <v>Front</v>
      </c>
      <c r="Z293" s="30">
        <v>400</v>
      </c>
      <c r="AA293" s="28">
        <v>449</v>
      </c>
      <c r="AB293" s="30"/>
      <c r="AC293" s="31">
        <v>1.5</v>
      </c>
      <c r="AD293" s="53">
        <v>4.7</v>
      </c>
      <c r="AE293" s="30" t="s">
        <v>812</v>
      </c>
      <c r="AF293" s="30" t="str">
        <f ca="1">Sprache!$A$101</f>
        <v>Zestaw (prawy+lewy)</v>
      </c>
      <c r="AG293" s="30" t="s">
        <v>26</v>
      </c>
      <c r="AH293" s="30" t="str">
        <f ca="1">Sprache!$A$121</f>
        <v>Sprężyna czarna dwustronnie</v>
      </c>
      <c r="AI293" s="30" t="s">
        <v>26</v>
      </c>
      <c r="AJ293" s="30" t="s">
        <v>26</v>
      </c>
      <c r="AK293" s="30">
        <f>'Material+Limits'!$K$9</f>
        <v>200</v>
      </c>
      <c r="AL293" s="28">
        <v>1200</v>
      </c>
      <c r="AM293" s="30"/>
      <c r="AN293" s="28"/>
      <c r="AO293"/>
      <c r="AR293"/>
      <c r="AS293"/>
      <c r="AT293"/>
      <c r="AU293"/>
      <c r="AV293"/>
    </row>
    <row r="294" spans="1:48" x14ac:dyDescent="0.25">
      <c r="A294" t="str">
        <f t="shared" ca="1" si="9"/>
        <v/>
      </c>
      <c r="B294" t="str">
        <f t="shared" ca="1" si="8"/>
        <v/>
      </c>
      <c r="C294" s="79">
        <f>IF('Material+Limits'!$P$6=TRUE,1,0)</f>
        <v>0</v>
      </c>
      <c r="D294" s="39">
        <f>IF(Daten!$O294+Daten!$P294+Daten!$R294=3,1,0)</f>
        <v>0</v>
      </c>
      <c r="E294" s="184">
        <f ca="1">IF(AND('Material+Limits'!$Q$21=TRUE,Daten!N294=1)=TRUE,1,0)</f>
        <v>0</v>
      </c>
      <c r="F294" s="185">
        <f>IF(AND('Material+Limits'!$Q$25=TRUE,Daten!M294=1)=TRUE,1,0)</f>
        <v>0</v>
      </c>
      <c r="G294" s="185">
        <f>IF(AND('Material+Limits'!$Q$24=TRUE,Daten!L294=1)=TRUE,1,0)</f>
        <v>0</v>
      </c>
      <c r="H294" s="185">
        <f>IF(AND('Material+Limits'!$Q$23=TRUE,Daten!K294=1)=TRUE,1,0)</f>
        <v>0</v>
      </c>
      <c r="I294" s="185">
        <f>IF(AND('Material+Limits'!$Q$22=TRUE,Daten!J294=1)=TRUE,1,0)</f>
        <v>0</v>
      </c>
      <c r="J294" s="158">
        <f>IF(Daten!$U294=13,1,0)</f>
        <v>0</v>
      </c>
      <c r="K294" s="159">
        <f>IF(Daten!$U294&lt;&gt;Daten!$V294,1,IF(Daten!$U294=14,1,0))</f>
        <v>0</v>
      </c>
      <c r="L294" s="159">
        <f>IF(Daten!$U294&lt;&gt;Daten!$V294,1,IF(Daten!$U294=16,1,0))</f>
        <v>0</v>
      </c>
      <c r="M294" s="159">
        <f>IF(Daten!$V294=17,1,0)</f>
        <v>1</v>
      </c>
      <c r="N294" s="160">
        <f ca="1">IF(Daten!$W294=Sprache!$A$60,1,0)</f>
        <v>0</v>
      </c>
      <c r="O294" s="171">
        <f>IF(AND(Daten!$AK294&lt;=KINVARO!$AW$3,Daten!$AL294&gt;=KINVARO!$AW$3)=TRUE,1,0)</f>
        <v>1</v>
      </c>
      <c r="P294" s="172">
        <f>IF(AND(Daten!$Z294&lt;=KINVARO!$AW$4,Daten!$AA294&gt;=KINVARO!$AW$4)=TRUE,1,0)</f>
        <v>0</v>
      </c>
      <c r="Q294" s="172"/>
      <c r="R294" s="172">
        <f>IF(AND(Daten!$AC294&lt;='Material+Limits'!$I$58,Daten!$AD294&gt;='Material+Limits'!$I$58)=TRUE,1,0)</f>
        <v>0</v>
      </c>
      <c r="S294" s="23">
        <f ca="1">IF(Daten!$X294=Sprache!$A$125,1,0)</f>
        <v>1</v>
      </c>
      <c r="T294" s="24" t="str">
        <f ca="1">Sprache!$A$58</f>
        <v>Podnośnik T-65</v>
      </c>
      <c r="U294" s="27">
        <v>17</v>
      </c>
      <c r="V294" s="23">
        <v>17</v>
      </c>
      <c r="W294" s="25">
        <f ca="1">Sprache!$A$131</f>
        <v>0</v>
      </c>
      <c r="X294" s="25">
        <f ca="1">Sprache!$A$126</f>
        <v>0</v>
      </c>
      <c r="Y294" s="25" t="str">
        <f ca="1">Sprache!$A$69</f>
        <v>Front</v>
      </c>
      <c r="Z294" s="25">
        <v>400</v>
      </c>
      <c r="AA294" s="24">
        <v>449</v>
      </c>
      <c r="AB294" s="25"/>
      <c r="AC294" s="26">
        <v>0.8</v>
      </c>
      <c r="AD294" s="54">
        <v>2.5</v>
      </c>
      <c r="AE294" s="25" t="s">
        <v>813</v>
      </c>
      <c r="AF294" s="25" t="str">
        <f ca="1">Sprache!$A$101</f>
        <v>Zestaw (prawy+lewy)</v>
      </c>
      <c r="AG294" s="25" t="s">
        <v>26</v>
      </c>
      <c r="AH294" s="25" t="str">
        <f ca="1">Sprache!$A$120</f>
        <v>Sprężyna żółta dwustronnie</v>
      </c>
      <c r="AI294" s="25" t="s">
        <v>26</v>
      </c>
      <c r="AJ294" s="25" t="s">
        <v>26</v>
      </c>
      <c r="AK294" s="25">
        <f>'Material+Limits'!$K$9</f>
        <v>200</v>
      </c>
      <c r="AL294" s="24">
        <v>1200</v>
      </c>
      <c r="AM294" s="30"/>
      <c r="AN294" s="24"/>
      <c r="AO294"/>
      <c r="AR294"/>
      <c r="AS294"/>
      <c r="AT294"/>
      <c r="AU294"/>
      <c r="AV294"/>
    </row>
    <row r="295" spans="1:48" s="5" customFormat="1" x14ac:dyDescent="0.25">
      <c r="A295" t="str">
        <f t="shared" ca="1" si="9"/>
        <v/>
      </c>
      <c r="B295" t="str">
        <f t="shared" ca="1" si="8"/>
        <v/>
      </c>
      <c r="C295" s="79">
        <f>IF('Material+Limits'!$P$6=TRUE,1,0)</f>
        <v>0</v>
      </c>
      <c r="D295" s="39">
        <f>IF(Daten!$O295+Daten!$P295+Daten!$R295=3,1,0)</f>
        <v>0</v>
      </c>
      <c r="E295" s="184">
        <f ca="1">IF(AND('Material+Limits'!$Q$21=TRUE,Daten!N295=1)=TRUE,1,0)</f>
        <v>0</v>
      </c>
      <c r="F295" s="185">
        <f>IF(AND('Material+Limits'!$Q$25=TRUE,Daten!M295=1)=TRUE,1,0)</f>
        <v>0</v>
      </c>
      <c r="G295" s="185">
        <f>IF(AND('Material+Limits'!$Q$24=TRUE,Daten!L295=1)=TRUE,1,0)</f>
        <v>0</v>
      </c>
      <c r="H295" s="185">
        <f>IF(AND('Material+Limits'!$Q$23=TRUE,Daten!K295=1)=TRUE,1,0)</f>
        <v>0</v>
      </c>
      <c r="I295" s="185">
        <f>IF(AND('Material+Limits'!$Q$22=TRUE,Daten!J295=1)=TRUE,1,0)</f>
        <v>0</v>
      </c>
      <c r="J295" s="155">
        <f>IF(Daten!$U295=13,1,0)</f>
        <v>0</v>
      </c>
      <c r="K295" s="156">
        <f>IF(Daten!$U295&lt;&gt;Daten!$V295,1,IF(Daten!$U295=14,1,0))</f>
        <v>0</v>
      </c>
      <c r="L295" s="156">
        <f>IF(Daten!$U295&lt;&gt;Daten!$V295,1,IF(Daten!$U295=16,1,0))</f>
        <v>0</v>
      </c>
      <c r="M295" s="156">
        <f>IF(Daten!$V295=17,1,0)</f>
        <v>1</v>
      </c>
      <c r="N295" s="157">
        <f ca="1">IF(Daten!$W295=Sprache!$A$60,1,0)</f>
        <v>0</v>
      </c>
      <c r="O295" s="169">
        <f>IF(AND(Daten!$AK295&lt;=KINVARO!$AW$3,Daten!$AL295&gt;=KINVARO!$AW$3)=TRUE,1,0)</f>
        <v>1</v>
      </c>
      <c r="P295" s="170">
        <f>IF(AND(Daten!$Z295&lt;=KINVARO!$AW$4,Daten!$AA295&gt;=KINVARO!$AW$4)=TRUE,1,0)</f>
        <v>0</v>
      </c>
      <c r="Q295" s="170"/>
      <c r="R295" s="170">
        <f>IF(AND(Daten!$AC295&lt;='Material+Limits'!$I$58,Daten!$AD295&gt;='Material+Limits'!$I$58)=TRUE,1,0)</f>
        <v>0</v>
      </c>
      <c r="S295" s="29">
        <f ca="1">IF(Daten!$X295=Sprache!$A$125,1,0)</f>
        <v>1</v>
      </c>
      <c r="T295" s="28" t="str">
        <f ca="1">Sprache!$A$58</f>
        <v>Podnośnik T-65</v>
      </c>
      <c r="U295" s="32">
        <v>17</v>
      </c>
      <c r="V295" s="29">
        <v>17</v>
      </c>
      <c r="W295" s="30">
        <f ca="1">Sprache!$A$131</f>
        <v>0</v>
      </c>
      <c r="X295" s="30">
        <f ca="1">Sprache!$A$126</f>
        <v>0</v>
      </c>
      <c r="Y295" s="30" t="str">
        <f ca="1">Sprache!$A$69</f>
        <v>Front</v>
      </c>
      <c r="Z295" s="30">
        <v>400</v>
      </c>
      <c r="AA295" s="28">
        <v>449</v>
      </c>
      <c r="AB295" s="30"/>
      <c r="AC295" s="31">
        <v>1.5</v>
      </c>
      <c r="AD295" s="53">
        <v>4.7</v>
      </c>
      <c r="AE295" s="30" t="s">
        <v>813</v>
      </c>
      <c r="AF295" s="30" t="str">
        <f ca="1">Sprache!$A$101</f>
        <v>Zestaw (prawy+lewy)</v>
      </c>
      <c r="AG295" s="30" t="s">
        <v>26</v>
      </c>
      <c r="AH295" s="30" t="str">
        <f ca="1">Sprache!$A$121</f>
        <v>Sprężyna czarna dwustronnie</v>
      </c>
      <c r="AI295" s="30" t="s">
        <v>26</v>
      </c>
      <c r="AJ295" s="30" t="s">
        <v>26</v>
      </c>
      <c r="AK295" s="30">
        <f>'Material+Limits'!$K$9</f>
        <v>200</v>
      </c>
      <c r="AL295" s="28">
        <v>1200</v>
      </c>
      <c r="AM295" s="30"/>
      <c r="AN295" s="28"/>
    </row>
    <row r="296" spans="1:48" x14ac:dyDescent="0.25">
      <c r="A296" t="str">
        <f t="shared" ca="1" si="9"/>
        <v/>
      </c>
      <c r="B296" t="str">
        <f t="shared" ca="1" si="8"/>
        <v/>
      </c>
      <c r="C296" s="79">
        <f>IF('Material+Limits'!$P$6=TRUE,1,0)</f>
        <v>0</v>
      </c>
      <c r="D296" s="39">
        <f>IF(Daten!$O296+Daten!$P296+Daten!$R296=3,1,0)</f>
        <v>0</v>
      </c>
      <c r="E296" s="184">
        <f ca="1">IF(AND('Material+Limits'!$Q$21=TRUE,Daten!N296=1)=TRUE,1,0)</f>
        <v>1</v>
      </c>
      <c r="F296" s="185">
        <f ca="1">IF(AND('Material+Limits'!$Q$25=TRUE,Daten!M296=1)=TRUE,1,0)</f>
        <v>0</v>
      </c>
      <c r="G296" s="185">
        <f ca="1">IF(AND('Material+Limits'!$Q$24=TRUE,Daten!L296=1)=TRUE,1,0)</f>
        <v>0</v>
      </c>
      <c r="H296" s="185">
        <f ca="1">IF(AND('Material+Limits'!$Q$23=TRUE,Daten!K296=1)=TRUE,1,0)</f>
        <v>0</v>
      </c>
      <c r="I296" s="185">
        <f ca="1">IF(AND('Material+Limits'!$Q$22=TRUE,Daten!J296=1)=TRUE,1,0)</f>
        <v>0</v>
      </c>
      <c r="J296" s="158">
        <f ca="1">IF(Daten!$U296=13,1,0)</f>
        <v>0</v>
      </c>
      <c r="K296" s="159">
        <f ca="1">IF(Daten!$U296&lt;&gt;Daten!$V296,1,IF(Daten!$U296=14,1,0))</f>
        <v>0</v>
      </c>
      <c r="L296" s="159">
        <f ca="1">IF(Daten!$U296&lt;&gt;Daten!$V296,1,IF(Daten!$U296=16,1,0))</f>
        <v>0</v>
      </c>
      <c r="M296" s="159">
        <f ca="1">IF(Daten!$V296=17,1,0)</f>
        <v>0</v>
      </c>
      <c r="N296" s="160">
        <f ca="1">IF(Daten!$W296=Sprache!$A$60,1,0)</f>
        <v>1</v>
      </c>
      <c r="O296" s="173">
        <f>IF(AND(Daten!$AK296&lt;=KINVARO!$AW$3,Daten!$AL296&gt;=KINVARO!$AW$3)=TRUE,1,0)</f>
        <v>1</v>
      </c>
      <c r="P296" s="174">
        <f>IF(AND(Daten!$Z296&lt;=KINVARO!$AW$4,Daten!$AA296&gt;=KINVARO!$AW$4)=TRUE,1,0)</f>
        <v>0</v>
      </c>
      <c r="Q296" s="174"/>
      <c r="R296" s="174">
        <f>IF(AND(Daten!$AC296&lt;='Material+Limits'!$I$58,Daten!$AD296&gt;='Material+Limits'!$I$58)=TRUE,1,0)</f>
        <v>0</v>
      </c>
      <c r="S296" s="38">
        <f ca="1">IF(Daten!$X296=Sprache!$A$125,1,0)</f>
        <v>1</v>
      </c>
      <c r="T296" s="57" t="str">
        <f ca="1">Sprache!$A$58</f>
        <v>Podnośnik T-65</v>
      </c>
      <c r="U296" s="55">
        <f ca="1">Sprache!$A$64</f>
        <v>0</v>
      </c>
      <c r="V296" s="38">
        <f ca="1">Sprache!$A$64</f>
        <v>0</v>
      </c>
      <c r="W296" s="56" t="str">
        <f ca="1">Sprache!$A$60</f>
        <v>Front lity (drewno/płyta)</v>
      </c>
      <c r="X296" s="25">
        <f ca="1">Sprache!$A$126</f>
        <v>0</v>
      </c>
      <c r="Y296" s="56" t="str">
        <f ca="1">Sprache!$A$69</f>
        <v>Front</v>
      </c>
      <c r="Z296" s="56">
        <v>450</v>
      </c>
      <c r="AA296" s="57">
        <v>499</v>
      </c>
      <c r="AB296" s="56"/>
      <c r="AC296" s="58">
        <v>0.7</v>
      </c>
      <c r="AD296" s="59">
        <v>2.2000000000000002</v>
      </c>
      <c r="AE296" s="56" t="s">
        <v>809</v>
      </c>
      <c r="AF296" s="56" t="str">
        <f ca="1">Sprache!$A$101</f>
        <v>Zestaw (prawy+lewy)</v>
      </c>
      <c r="AG296" s="56" t="s">
        <v>26</v>
      </c>
      <c r="AH296" s="56" t="str">
        <f ca="1">Sprache!$A$120</f>
        <v>Sprężyna żółta dwustronnie</v>
      </c>
      <c r="AI296" s="25" t="s">
        <v>26</v>
      </c>
      <c r="AJ296" s="25" t="s">
        <v>26</v>
      </c>
      <c r="AK296" s="56">
        <f>'Material+Limits'!$K$9</f>
        <v>200</v>
      </c>
      <c r="AL296" s="57">
        <v>1200</v>
      </c>
      <c r="AM296" s="30"/>
      <c r="AN296" s="24"/>
      <c r="AO296"/>
      <c r="AR296"/>
      <c r="AS296"/>
      <c r="AT296"/>
      <c r="AU296"/>
      <c r="AV296"/>
    </row>
    <row r="297" spans="1:48" x14ac:dyDescent="0.25">
      <c r="A297" t="str">
        <f t="shared" ca="1" si="9"/>
        <v/>
      </c>
      <c r="B297" t="str">
        <f t="shared" ca="1" si="8"/>
        <v/>
      </c>
      <c r="C297" s="79">
        <f>IF('Material+Limits'!$P$6=TRUE,1,0)</f>
        <v>0</v>
      </c>
      <c r="D297" s="39">
        <f>IF(Daten!$O297+Daten!$P297+Daten!$R297=3,1,0)</f>
        <v>0</v>
      </c>
      <c r="E297" s="184">
        <f ca="1">IF(AND('Material+Limits'!$Q$21=TRUE,Daten!N297=1)=TRUE,1,0)</f>
        <v>1</v>
      </c>
      <c r="F297" s="185">
        <f ca="1">IF(AND('Material+Limits'!$Q$25=TRUE,Daten!M297=1)=TRUE,1,0)</f>
        <v>0</v>
      </c>
      <c r="G297" s="185">
        <f ca="1">IF(AND('Material+Limits'!$Q$24=TRUE,Daten!L297=1)=TRUE,1,0)</f>
        <v>0</v>
      </c>
      <c r="H297" s="185">
        <f ca="1">IF(AND('Material+Limits'!$Q$23=TRUE,Daten!K297=1)=TRUE,1,0)</f>
        <v>0</v>
      </c>
      <c r="I297" s="185">
        <f ca="1">IF(AND('Material+Limits'!$Q$22=TRUE,Daten!J297=1)=TRUE,1,0)</f>
        <v>0</v>
      </c>
      <c r="J297" s="155">
        <f ca="1">IF(Daten!$U297=13,1,0)</f>
        <v>0</v>
      </c>
      <c r="K297" s="156">
        <f ca="1">IF(Daten!$U297&lt;&gt;Daten!$V297,1,IF(Daten!$U297=14,1,0))</f>
        <v>0</v>
      </c>
      <c r="L297" s="156">
        <f ca="1">IF(Daten!$U297&lt;&gt;Daten!$V297,1,IF(Daten!$U297=16,1,0))</f>
        <v>0</v>
      </c>
      <c r="M297" s="156">
        <f ca="1">IF(Daten!$V297=17,1,0)</f>
        <v>0</v>
      </c>
      <c r="N297" s="157">
        <f ca="1">IF(Daten!$W297=Sprache!$A$60,1,0)</f>
        <v>1</v>
      </c>
      <c r="O297" s="169">
        <f>IF(AND(Daten!$AK297&lt;=KINVARO!$AW$3,Daten!$AL297&gt;=KINVARO!$AW$3)=TRUE,1,0)</f>
        <v>1</v>
      </c>
      <c r="P297" s="170">
        <f>IF(AND(Daten!$Z297&lt;=KINVARO!$AW$4,Daten!$AA297&gt;=KINVARO!$AW$4)=TRUE,1,0)</f>
        <v>0</v>
      </c>
      <c r="R297" s="170">
        <f>IF(AND(Daten!$AC297&lt;='Material+Limits'!$I$58,Daten!$AD297&gt;='Material+Limits'!$I$58)=TRUE,1,0)</f>
        <v>0</v>
      </c>
      <c r="S297" s="29">
        <f ca="1">IF(Daten!$X297=Sprache!$A$125,1,0)</f>
        <v>1</v>
      </c>
      <c r="T297" s="28" t="str">
        <f ca="1">Sprache!$A$58</f>
        <v>Podnośnik T-65</v>
      </c>
      <c r="U297" s="32">
        <f ca="1">Sprache!$A$64</f>
        <v>0</v>
      </c>
      <c r="V297" s="29">
        <f ca="1">Sprache!$A$64</f>
        <v>0</v>
      </c>
      <c r="W297" s="30" t="str">
        <f ca="1">Sprache!$A$60</f>
        <v>Front lity (drewno/płyta)</v>
      </c>
      <c r="X297" s="30">
        <f ca="1">Sprache!$A$126</f>
        <v>0</v>
      </c>
      <c r="Y297" s="30" t="str">
        <f ca="1">Sprache!$A$69</f>
        <v>Front</v>
      </c>
      <c r="Z297" s="30">
        <v>450</v>
      </c>
      <c r="AA297" s="28">
        <v>499</v>
      </c>
      <c r="AB297" s="30"/>
      <c r="AC297" s="31">
        <v>1.3</v>
      </c>
      <c r="AD297" s="53">
        <v>4.2</v>
      </c>
      <c r="AE297" s="30" t="s">
        <v>809</v>
      </c>
      <c r="AF297" s="30" t="str">
        <f ca="1">Sprache!$A$101</f>
        <v>Zestaw (prawy+lewy)</v>
      </c>
      <c r="AG297" s="30" t="s">
        <v>26</v>
      </c>
      <c r="AH297" s="30" t="str">
        <f ca="1">Sprache!$A$121</f>
        <v>Sprężyna czarna dwustronnie</v>
      </c>
      <c r="AI297" s="30" t="s">
        <v>26</v>
      </c>
      <c r="AJ297" s="30" t="s">
        <v>26</v>
      </c>
      <c r="AK297" s="30">
        <f>'Material+Limits'!$K$9</f>
        <v>200</v>
      </c>
      <c r="AL297" s="28">
        <v>1200</v>
      </c>
      <c r="AM297" s="30"/>
      <c r="AN297" s="28"/>
      <c r="AO297"/>
      <c r="AR297"/>
      <c r="AS297"/>
      <c r="AT297"/>
      <c r="AU297"/>
      <c r="AV297"/>
    </row>
    <row r="298" spans="1:48" x14ac:dyDescent="0.25">
      <c r="A298" t="str">
        <f t="shared" ca="1" si="9"/>
        <v/>
      </c>
      <c r="B298" t="str">
        <f t="shared" ca="1" si="8"/>
        <v/>
      </c>
      <c r="C298" s="79">
        <f>IF('Material+Limits'!$P$6=TRUE,1,0)</f>
        <v>0</v>
      </c>
      <c r="D298" s="39">
        <f>IF(Daten!$O298+Daten!$P298+Daten!$R298=3,1,0)</f>
        <v>0</v>
      </c>
      <c r="E298" s="184">
        <f ca="1">IF(AND('Material+Limits'!$Q$21=TRUE,Daten!N298=1)=TRUE,1,0)</f>
        <v>0</v>
      </c>
      <c r="F298" s="185">
        <f>IF(AND('Material+Limits'!$Q$25=TRUE,Daten!M298=1)=TRUE,1,0)</f>
        <v>0</v>
      </c>
      <c r="G298" s="185">
        <f>IF(AND('Material+Limits'!$Q$24=TRUE,Daten!L298=1)=TRUE,1,0)</f>
        <v>0</v>
      </c>
      <c r="H298" s="185">
        <f>IF(AND('Material+Limits'!$Q$23=TRUE,Daten!K298=1)=TRUE,1,0)</f>
        <v>0</v>
      </c>
      <c r="I298" s="185">
        <f>IF(AND('Material+Limits'!$Q$22=TRUE,Daten!J298=1)=TRUE,1,0)</f>
        <v>0</v>
      </c>
      <c r="J298" s="158">
        <f>IF(Daten!$U298=13,1,0)</f>
        <v>1</v>
      </c>
      <c r="K298" s="159">
        <f>IF(Daten!$U298&lt;&gt;Daten!$V298,1,IF(Daten!$U298=14,1,0))</f>
        <v>0</v>
      </c>
      <c r="L298" s="159">
        <f>IF(Daten!$U298&lt;&gt;Daten!$V298,1,IF(Daten!$U298=16,1,0))</f>
        <v>0</v>
      </c>
      <c r="M298" s="159">
        <f>IF(Daten!$V298=17,1,0)</f>
        <v>0</v>
      </c>
      <c r="N298" s="160">
        <f ca="1">IF(Daten!$W298=Sprache!$A$60,1,0)</f>
        <v>0</v>
      </c>
      <c r="O298" s="171">
        <f>IF(AND(Daten!$AK298&lt;=KINVARO!$AW$3,Daten!$AL298&gt;=KINVARO!$AW$3)=TRUE,1,0)</f>
        <v>1</v>
      </c>
      <c r="P298" s="172">
        <f>IF(AND(Daten!$Z298&lt;=KINVARO!$AW$4,Daten!$AA298&gt;=KINVARO!$AW$4)=TRUE,1,0)</f>
        <v>0</v>
      </c>
      <c r="Q298" s="172"/>
      <c r="R298" s="172">
        <f>IF(AND(Daten!$AC298&lt;='Material+Limits'!$I$58,Daten!$AD298&gt;='Material+Limits'!$I$58)=TRUE,1,0)</f>
        <v>0</v>
      </c>
      <c r="S298" s="23">
        <f ca="1">IF(Daten!$X298=Sprache!$A$125,1,0)</f>
        <v>1</v>
      </c>
      <c r="T298" s="24" t="str">
        <f ca="1">Sprache!$A$58</f>
        <v>Podnośnik T-65</v>
      </c>
      <c r="U298" s="27">
        <v>13</v>
      </c>
      <c r="V298" s="23">
        <v>13</v>
      </c>
      <c r="W298" s="25">
        <f ca="1">Sprache!$A$131</f>
        <v>0</v>
      </c>
      <c r="X298" s="25">
        <f ca="1">Sprache!$A$126</f>
        <v>0</v>
      </c>
      <c r="Y298" s="25" t="str">
        <f ca="1">Sprache!$A$69</f>
        <v>Front</v>
      </c>
      <c r="Z298" s="25">
        <v>450</v>
      </c>
      <c r="AA298" s="24">
        <v>499</v>
      </c>
      <c r="AB298" s="25"/>
      <c r="AC298" s="26">
        <v>0.7</v>
      </c>
      <c r="AD298" s="54">
        <v>2.2000000000000002</v>
      </c>
      <c r="AE298" s="25" t="s">
        <v>810</v>
      </c>
      <c r="AF298" s="25" t="str">
        <f ca="1">Sprache!$A$101</f>
        <v>Zestaw (prawy+lewy)</v>
      </c>
      <c r="AG298" s="25" t="s">
        <v>26</v>
      </c>
      <c r="AH298" s="25" t="str">
        <f ca="1">Sprache!$A$120</f>
        <v>Sprężyna żółta dwustronnie</v>
      </c>
      <c r="AI298" s="25" t="s">
        <v>26</v>
      </c>
      <c r="AJ298" s="25" t="s">
        <v>26</v>
      </c>
      <c r="AK298" s="25">
        <f>'Material+Limits'!$K$9</f>
        <v>200</v>
      </c>
      <c r="AL298" s="24">
        <v>1200</v>
      </c>
      <c r="AM298" s="30"/>
      <c r="AN298" s="24"/>
      <c r="AO298"/>
      <c r="AR298"/>
      <c r="AS298"/>
      <c r="AT298"/>
      <c r="AU298"/>
      <c r="AV298"/>
    </row>
    <row r="299" spans="1:48" x14ac:dyDescent="0.25">
      <c r="A299" t="str">
        <f t="shared" ca="1" si="9"/>
        <v/>
      </c>
      <c r="B299" t="str">
        <f t="shared" ca="1" si="8"/>
        <v/>
      </c>
      <c r="C299" s="79">
        <f>IF('Material+Limits'!$P$6=TRUE,1,0)</f>
        <v>0</v>
      </c>
      <c r="D299" s="39">
        <f>IF(Daten!$O299+Daten!$P299+Daten!$R299=3,1,0)</f>
        <v>0</v>
      </c>
      <c r="E299" s="184">
        <f ca="1">IF(AND('Material+Limits'!$Q$21=TRUE,Daten!N299=1)=TRUE,1,0)</f>
        <v>0</v>
      </c>
      <c r="F299" s="185">
        <f>IF(AND('Material+Limits'!$Q$25=TRUE,Daten!M299=1)=TRUE,1,0)</f>
        <v>0</v>
      </c>
      <c r="G299" s="185">
        <f>IF(AND('Material+Limits'!$Q$24=TRUE,Daten!L299=1)=TRUE,1,0)</f>
        <v>0</v>
      </c>
      <c r="H299" s="185">
        <f>IF(AND('Material+Limits'!$Q$23=TRUE,Daten!K299=1)=TRUE,1,0)</f>
        <v>0</v>
      </c>
      <c r="I299" s="185">
        <f>IF(AND('Material+Limits'!$Q$22=TRUE,Daten!J299=1)=TRUE,1,0)</f>
        <v>0</v>
      </c>
      <c r="J299" s="155">
        <f>IF(Daten!$U299=13,1,0)</f>
        <v>1</v>
      </c>
      <c r="K299" s="156">
        <f>IF(Daten!$U299&lt;&gt;Daten!$V299,1,IF(Daten!$U299=14,1,0))</f>
        <v>0</v>
      </c>
      <c r="L299" s="156">
        <f>IF(Daten!$U299&lt;&gt;Daten!$V299,1,IF(Daten!$U299=16,1,0))</f>
        <v>0</v>
      </c>
      <c r="M299" s="156">
        <f>IF(Daten!$V299=17,1,0)</f>
        <v>0</v>
      </c>
      <c r="N299" s="157">
        <f ca="1">IF(Daten!$W299=Sprache!$A$60,1,0)</f>
        <v>0</v>
      </c>
      <c r="O299" s="169">
        <f>IF(AND(Daten!$AK299&lt;=KINVARO!$AW$3,Daten!$AL299&gt;=KINVARO!$AW$3)=TRUE,1,0)</f>
        <v>1</v>
      </c>
      <c r="P299" s="170">
        <f>IF(AND(Daten!$Z299&lt;=KINVARO!$AW$4,Daten!$AA299&gt;=KINVARO!$AW$4)=TRUE,1,0)</f>
        <v>0</v>
      </c>
      <c r="R299" s="170">
        <f>IF(AND(Daten!$AC299&lt;='Material+Limits'!$I$58,Daten!$AD299&gt;='Material+Limits'!$I$58)=TRUE,1,0)</f>
        <v>0</v>
      </c>
      <c r="S299" s="29">
        <f ca="1">IF(Daten!$X299=Sprache!$A$125,1,0)</f>
        <v>1</v>
      </c>
      <c r="T299" s="28" t="str">
        <f ca="1">Sprache!$A$58</f>
        <v>Podnośnik T-65</v>
      </c>
      <c r="U299" s="32">
        <v>13</v>
      </c>
      <c r="V299" s="29">
        <v>13</v>
      </c>
      <c r="W299" s="30">
        <f ca="1">Sprache!$A$131</f>
        <v>0</v>
      </c>
      <c r="X299" s="30">
        <f ca="1">Sprache!$A$126</f>
        <v>0</v>
      </c>
      <c r="Y299" s="30" t="str">
        <f ca="1">Sprache!$A$69</f>
        <v>Front</v>
      </c>
      <c r="Z299" s="30">
        <v>450</v>
      </c>
      <c r="AA299" s="28">
        <v>499</v>
      </c>
      <c r="AB299" s="30"/>
      <c r="AC299" s="31">
        <v>1.3</v>
      </c>
      <c r="AD299" s="53">
        <v>4.2</v>
      </c>
      <c r="AE299" s="30" t="s">
        <v>810</v>
      </c>
      <c r="AF299" s="30" t="str">
        <f ca="1">Sprache!$A$101</f>
        <v>Zestaw (prawy+lewy)</v>
      </c>
      <c r="AG299" s="30" t="s">
        <v>26</v>
      </c>
      <c r="AH299" s="30" t="str">
        <f ca="1">Sprache!$A$121</f>
        <v>Sprężyna czarna dwustronnie</v>
      </c>
      <c r="AI299" s="30" t="s">
        <v>26</v>
      </c>
      <c r="AJ299" s="30" t="s">
        <v>26</v>
      </c>
      <c r="AK299" s="30">
        <f>'Material+Limits'!$K$9</f>
        <v>200</v>
      </c>
      <c r="AL299" s="28">
        <v>1200</v>
      </c>
      <c r="AM299" s="30"/>
      <c r="AN299" s="28"/>
      <c r="AO299"/>
      <c r="AR299"/>
      <c r="AS299"/>
      <c r="AT299"/>
      <c r="AU299"/>
      <c r="AV299"/>
    </row>
    <row r="300" spans="1:48" x14ac:dyDescent="0.25">
      <c r="A300" t="str">
        <f t="shared" ca="1" si="9"/>
        <v/>
      </c>
      <c r="B300" t="str">
        <f t="shared" ca="1" si="8"/>
        <v/>
      </c>
      <c r="C300" s="79">
        <f>IF('Material+Limits'!$P$6=TRUE,1,0)</f>
        <v>0</v>
      </c>
      <c r="D300" s="39">
        <f>IF(Daten!$O300+Daten!$P300+Daten!$R300=3,1,0)</f>
        <v>0</v>
      </c>
      <c r="E300" s="184">
        <f ca="1">IF(AND('Material+Limits'!$Q$21=TRUE,Daten!N300=1)=TRUE,1,0)</f>
        <v>0</v>
      </c>
      <c r="F300" s="185">
        <f>IF(AND('Material+Limits'!$Q$25=TRUE,Daten!M300=1)=TRUE,1,0)</f>
        <v>0</v>
      </c>
      <c r="G300" s="185">
        <f>IF(AND('Material+Limits'!$Q$24=TRUE,Daten!L300=1)=TRUE,1,0)</f>
        <v>0</v>
      </c>
      <c r="H300" s="185">
        <f>IF(AND('Material+Limits'!$Q$23=TRUE,Daten!K300=1)=TRUE,1,0)</f>
        <v>0</v>
      </c>
      <c r="I300" s="185">
        <f>IF(AND('Material+Limits'!$Q$22=TRUE,Daten!J300=1)=TRUE,1,0)</f>
        <v>0</v>
      </c>
      <c r="J300" s="158">
        <f>IF(Daten!$U300=13,1,0)</f>
        <v>0</v>
      </c>
      <c r="K300" s="159">
        <f>IF(Daten!$U300&lt;&gt;Daten!$V300,1,IF(Daten!$U300=14,1,0))</f>
        <v>1</v>
      </c>
      <c r="L300" s="159">
        <f>IF(Daten!$U300&lt;&gt;Daten!$V300,1,IF(Daten!$U300=16,1,0))</f>
        <v>0</v>
      </c>
      <c r="M300" s="159">
        <f>IF(Daten!$V300=17,1,0)</f>
        <v>0</v>
      </c>
      <c r="N300" s="160">
        <f ca="1">IF(Daten!$W300=Sprache!$A$60,1,0)</f>
        <v>0</v>
      </c>
      <c r="O300" s="171">
        <f>IF(AND(Daten!$AK300&lt;=KINVARO!$AW$3,Daten!$AL300&gt;=KINVARO!$AW$3)=TRUE,1,0)</f>
        <v>1</v>
      </c>
      <c r="P300" s="172">
        <f>IF(AND(Daten!$Z300&lt;=KINVARO!$AW$4,Daten!$AA300&gt;=KINVARO!$AW$4)=TRUE,1,0)</f>
        <v>0</v>
      </c>
      <c r="Q300" s="172"/>
      <c r="R300" s="172">
        <f>IF(AND(Daten!$AC300&lt;='Material+Limits'!$I$58,Daten!$AD300&gt;='Material+Limits'!$I$58)=TRUE,1,0)</f>
        <v>0</v>
      </c>
      <c r="S300" s="23">
        <f ca="1">IF(Daten!$X300=Sprache!$A$125,1,0)</f>
        <v>1</v>
      </c>
      <c r="T300" s="24" t="str">
        <f ca="1">Sprache!$A$58</f>
        <v>Podnośnik T-65</v>
      </c>
      <c r="U300" s="27">
        <v>14</v>
      </c>
      <c r="V300" s="23">
        <v>14</v>
      </c>
      <c r="W300" s="25">
        <f ca="1">Sprache!$A$131</f>
        <v>0</v>
      </c>
      <c r="X300" s="25">
        <f ca="1">Sprache!$A$126</f>
        <v>0</v>
      </c>
      <c r="Y300" s="25" t="str">
        <f ca="1">Sprache!$A$69</f>
        <v>Front</v>
      </c>
      <c r="Z300" s="25">
        <v>450</v>
      </c>
      <c r="AA300" s="24">
        <v>499</v>
      </c>
      <c r="AB300" s="25"/>
      <c r="AC300" s="26">
        <v>0.7</v>
      </c>
      <c r="AD300" s="54">
        <v>2.2000000000000002</v>
      </c>
      <c r="AE300" s="25" t="s">
        <v>811</v>
      </c>
      <c r="AF300" s="25" t="str">
        <f ca="1">Sprache!$A$101</f>
        <v>Zestaw (prawy+lewy)</v>
      </c>
      <c r="AG300" s="25" t="s">
        <v>26</v>
      </c>
      <c r="AH300" s="25" t="str">
        <f ca="1">Sprache!$A$120</f>
        <v>Sprężyna żółta dwustronnie</v>
      </c>
      <c r="AI300" s="25" t="s">
        <v>26</v>
      </c>
      <c r="AJ300" s="25" t="s">
        <v>26</v>
      </c>
      <c r="AK300" s="25">
        <f>'Material+Limits'!$K$9</f>
        <v>200</v>
      </c>
      <c r="AL300" s="24">
        <v>1200</v>
      </c>
      <c r="AM300" s="30"/>
      <c r="AN300" s="24"/>
      <c r="AO300"/>
      <c r="AR300"/>
      <c r="AS300"/>
      <c r="AT300"/>
      <c r="AU300"/>
      <c r="AV300"/>
    </row>
    <row r="301" spans="1:48" x14ac:dyDescent="0.25">
      <c r="A301" t="str">
        <f t="shared" ca="1" si="9"/>
        <v/>
      </c>
      <c r="B301" t="str">
        <f t="shared" ca="1" si="8"/>
        <v/>
      </c>
      <c r="C301" s="79">
        <f>IF('Material+Limits'!$P$6=TRUE,1,0)</f>
        <v>0</v>
      </c>
      <c r="D301" s="39">
        <f>IF(Daten!$O301+Daten!$P301+Daten!$R301=3,1,0)</f>
        <v>0</v>
      </c>
      <c r="E301" s="184">
        <f ca="1">IF(AND('Material+Limits'!$Q$21=TRUE,Daten!N301=1)=TRUE,1,0)</f>
        <v>0</v>
      </c>
      <c r="F301" s="185">
        <f>IF(AND('Material+Limits'!$Q$25=TRUE,Daten!M301=1)=TRUE,1,0)</f>
        <v>0</v>
      </c>
      <c r="G301" s="185">
        <f>IF(AND('Material+Limits'!$Q$24=TRUE,Daten!L301=1)=TRUE,1,0)</f>
        <v>0</v>
      </c>
      <c r="H301" s="185">
        <f>IF(AND('Material+Limits'!$Q$23=TRUE,Daten!K301=1)=TRUE,1,0)</f>
        <v>0</v>
      </c>
      <c r="I301" s="185">
        <f>IF(AND('Material+Limits'!$Q$22=TRUE,Daten!J301=1)=TRUE,1,0)</f>
        <v>0</v>
      </c>
      <c r="J301" s="155">
        <f>IF(Daten!$U301=13,1,0)</f>
        <v>0</v>
      </c>
      <c r="K301" s="156">
        <f>IF(Daten!$U301&lt;&gt;Daten!$V301,1,IF(Daten!$U301=14,1,0))</f>
        <v>1</v>
      </c>
      <c r="L301" s="156">
        <f>IF(Daten!$U301&lt;&gt;Daten!$V301,1,IF(Daten!$U301=16,1,0))</f>
        <v>0</v>
      </c>
      <c r="M301" s="156">
        <f>IF(Daten!$V301=17,1,0)</f>
        <v>0</v>
      </c>
      <c r="N301" s="157">
        <f ca="1">IF(Daten!$W301=Sprache!$A$60,1,0)</f>
        <v>0</v>
      </c>
      <c r="O301" s="169">
        <f>IF(AND(Daten!$AK301&lt;=KINVARO!$AW$3,Daten!$AL301&gt;=KINVARO!$AW$3)=TRUE,1,0)</f>
        <v>1</v>
      </c>
      <c r="P301" s="170">
        <f>IF(AND(Daten!$Z301&lt;=KINVARO!$AW$4,Daten!$AA301&gt;=KINVARO!$AW$4)=TRUE,1,0)</f>
        <v>0</v>
      </c>
      <c r="R301" s="170">
        <f>IF(AND(Daten!$AC301&lt;='Material+Limits'!$I$58,Daten!$AD301&gt;='Material+Limits'!$I$58)=TRUE,1,0)</f>
        <v>0</v>
      </c>
      <c r="S301" s="29">
        <f ca="1">IF(Daten!$X301=Sprache!$A$125,1,0)</f>
        <v>1</v>
      </c>
      <c r="T301" s="28" t="str">
        <f ca="1">Sprache!$A$58</f>
        <v>Podnośnik T-65</v>
      </c>
      <c r="U301" s="32">
        <v>14</v>
      </c>
      <c r="V301" s="29">
        <v>14</v>
      </c>
      <c r="W301" s="30">
        <f ca="1">Sprache!$A$131</f>
        <v>0</v>
      </c>
      <c r="X301" s="30">
        <f ca="1">Sprache!$A$126</f>
        <v>0</v>
      </c>
      <c r="Y301" s="30" t="str">
        <f ca="1">Sprache!$A$69</f>
        <v>Front</v>
      </c>
      <c r="Z301" s="30">
        <v>450</v>
      </c>
      <c r="AA301" s="28">
        <v>499</v>
      </c>
      <c r="AB301" s="30"/>
      <c r="AC301" s="31">
        <v>1.3</v>
      </c>
      <c r="AD301" s="53">
        <v>4.2</v>
      </c>
      <c r="AE301" s="30" t="s">
        <v>811</v>
      </c>
      <c r="AF301" s="30" t="str">
        <f ca="1">Sprache!$A$101</f>
        <v>Zestaw (prawy+lewy)</v>
      </c>
      <c r="AG301" s="30" t="s">
        <v>26</v>
      </c>
      <c r="AH301" s="30" t="str">
        <f ca="1">Sprache!$A$121</f>
        <v>Sprężyna czarna dwustronnie</v>
      </c>
      <c r="AI301" s="30" t="s">
        <v>26</v>
      </c>
      <c r="AJ301" s="30" t="s">
        <v>26</v>
      </c>
      <c r="AK301" s="30">
        <f>'Material+Limits'!$K$9</f>
        <v>200</v>
      </c>
      <c r="AL301" s="28">
        <v>1200</v>
      </c>
      <c r="AM301" s="30"/>
      <c r="AN301" s="28"/>
      <c r="AO301"/>
      <c r="AR301"/>
      <c r="AS301"/>
      <c r="AT301"/>
      <c r="AU301"/>
      <c r="AV301"/>
    </row>
    <row r="302" spans="1:48" x14ac:dyDescent="0.25">
      <c r="A302" t="str">
        <f t="shared" ca="1" si="9"/>
        <v/>
      </c>
      <c r="B302" t="str">
        <f t="shared" ca="1" si="8"/>
        <v/>
      </c>
      <c r="C302" s="79">
        <f>IF('Material+Limits'!$P$6=TRUE,1,0)</f>
        <v>0</v>
      </c>
      <c r="D302" s="39">
        <f>IF(Daten!$O302+Daten!$P302+Daten!$R302=3,1,0)</f>
        <v>0</v>
      </c>
      <c r="E302" s="184">
        <f ca="1">IF(AND('Material+Limits'!$Q$21=TRUE,Daten!N302=1)=TRUE,1,0)</f>
        <v>0</v>
      </c>
      <c r="F302" s="185">
        <f>IF(AND('Material+Limits'!$Q$25=TRUE,Daten!M302=1)=TRUE,1,0)</f>
        <v>0</v>
      </c>
      <c r="G302" s="185">
        <f>IF(AND('Material+Limits'!$Q$24=TRUE,Daten!L302=1)=TRUE,1,0)</f>
        <v>0</v>
      </c>
      <c r="H302" s="185">
        <f>IF(AND('Material+Limits'!$Q$23=TRUE,Daten!K302=1)=TRUE,1,0)</f>
        <v>0</v>
      </c>
      <c r="I302" s="185">
        <f>IF(AND('Material+Limits'!$Q$22=TRUE,Daten!J302=1)=TRUE,1,0)</f>
        <v>0</v>
      </c>
      <c r="J302" s="158">
        <f>IF(Daten!$U302=13,1,0)</f>
        <v>0</v>
      </c>
      <c r="K302" s="159">
        <f>IF(Daten!$U302&lt;&gt;Daten!$V302,1,IF(Daten!$U302=14,1,0))</f>
        <v>0</v>
      </c>
      <c r="L302" s="159">
        <f>IF(Daten!$U302&lt;&gt;Daten!$V302,1,IF(Daten!$U302=16,1,0))</f>
        <v>1</v>
      </c>
      <c r="M302" s="159">
        <f>IF(Daten!$V302=17,1,0)</f>
        <v>0</v>
      </c>
      <c r="N302" s="160">
        <f ca="1">IF(Daten!$W302=Sprache!$A$60,1,0)</f>
        <v>0</v>
      </c>
      <c r="O302" s="171">
        <f>IF(AND(Daten!$AK302&lt;=KINVARO!$AW$3,Daten!$AL302&gt;=KINVARO!$AW$3)=TRUE,1,0)</f>
        <v>1</v>
      </c>
      <c r="P302" s="172">
        <f>IF(AND(Daten!$Z302&lt;=KINVARO!$AW$4,Daten!$AA302&gt;=KINVARO!$AW$4)=TRUE,1,0)</f>
        <v>0</v>
      </c>
      <c r="Q302" s="172"/>
      <c r="R302" s="172">
        <f>IF(AND(Daten!$AC302&lt;='Material+Limits'!$I$58,Daten!$AD302&gt;='Material+Limits'!$I$58)=TRUE,1,0)</f>
        <v>0</v>
      </c>
      <c r="S302" s="23">
        <f ca="1">IF(Daten!$X302=Sprache!$A$125,1,0)</f>
        <v>1</v>
      </c>
      <c r="T302" s="24" t="str">
        <f ca="1">Sprache!$A$58</f>
        <v>Podnośnik T-65</v>
      </c>
      <c r="U302" s="27">
        <v>16</v>
      </c>
      <c r="V302" s="23">
        <v>16</v>
      </c>
      <c r="W302" s="25">
        <f ca="1">Sprache!$A$131</f>
        <v>0</v>
      </c>
      <c r="X302" s="25">
        <f ca="1">Sprache!$A$126</f>
        <v>0</v>
      </c>
      <c r="Y302" s="25" t="str">
        <f ca="1">Sprache!$A$69</f>
        <v>Front</v>
      </c>
      <c r="Z302" s="25">
        <v>450</v>
      </c>
      <c r="AA302" s="24">
        <v>499</v>
      </c>
      <c r="AB302" s="25"/>
      <c r="AC302" s="26">
        <v>0.7</v>
      </c>
      <c r="AD302" s="54">
        <v>2.2000000000000002</v>
      </c>
      <c r="AE302" s="25" t="s">
        <v>812</v>
      </c>
      <c r="AF302" s="25" t="str">
        <f ca="1">Sprache!$A$101</f>
        <v>Zestaw (prawy+lewy)</v>
      </c>
      <c r="AG302" s="25" t="s">
        <v>26</v>
      </c>
      <c r="AH302" s="25" t="str">
        <f ca="1">Sprache!$A$120</f>
        <v>Sprężyna żółta dwustronnie</v>
      </c>
      <c r="AI302" s="25" t="s">
        <v>26</v>
      </c>
      <c r="AJ302" s="25" t="s">
        <v>26</v>
      </c>
      <c r="AK302" s="25">
        <f>'Material+Limits'!$K$9</f>
        <v>200</v>
      </c>
      <c r="AL302" s="24">
        <v>1200</v>
      </c>
      <c r="AM302" s="30"/>
      <c r="AN302" s="24"/>
      <c r="AO302"/>
      <c r="AR302"/>
      <c r="AS302"/>
      <c r="AT302"/>
      <c r="AU302"/>
      <c r="AV302"/>
    </row>
    <row r="303" spans="1:48" x14ac:dyDescent="0.25">
      <c r="A303" t="str">
        <f t="shared" ca="1" si="9"/>
        <v/>
      </c>
      <c r="B303" t="str">
        <f t="shared" ca="1" si="8"/>
        <v/>
      </c>
      <c r="C303" s="79">
        <f>IF('Material+Limits'!$P$6=TRUE,1,0)</f>
        <v>0</v>
      </c>
      <c r="D303" s="39">
        <f>IF(Daten!$O303+Daten!$P303+Daten!$R303=3,1,0)</f>
        <v>0</v>
      </c>
      <c r="E303" s="184">
        <f ca="1">IF(AND('Material+Limits'!$Q$21=TRUE,Daten!N303=1)=TRUE,1,0)</f>
        <v>0</v>
      </c>
      <c r="F303" s="185">
        <f>IF(AND('Material+Limits'!$Q$25=TRUE,Daten!M303=1)=TRUE,1,0)</f>
        <v>0</v>
      </c>
      <c r="G303" s="185">
        <f>IF(AND('Material+Limits'!$Q$24=TRUE,Daten!L303=1)=TRUE,1,0)</f>
        <v>0</v>
      </c>
      <c r="H303" s="185">
        <f>IF(AND('Material+Limits'!$Q$23=TRUE,Daten!K303=1)=TRUE,1,0)</f>
        <v>0</v>
      </c>
      <c r="I303" s="185">
        <f>IF(AND('Material+Limits'!$Q$22=TRUE,Daten!J303=1)=TRUE,1,0)</f>
        <v>0</v>
      </c>
      <c r="J303" s="155">
        <f>IF(Daten!$U303=13,1,0)</f>
        <v>0</v>
      </c>
      <c r="K303" s="156">
        <f>IF(Daten!$U303&lt;&gt;Daten!$V303,1,IF(Daten!$U303=14,1,0))</f>
        <v>0</v>
      </c>
      <c r="L303" s="156">
        <f>IF(Daten!$U303&lt;&gt;Daten!$V303,1,IF(Daten!$U303=16,1,0))</f>
        <v>1</v>
      </c>
      <c r="M303" s="156">
        <f>IF(Daten!$V303=17,1,0)</f>
        <v>0</v>
      </c>
      <c r="N303" s="157">
        <f ca="1">IF(Daten!$W303=Sprache!$A$60,1,0)</f>
        <v>0</v>
      </c>
      <c r="O303" s="169">
        <f>IF(AND(Daten!$AK303&lt;=KINVARO!$AW$3,Daten!$AL303&gt;=KINVARO!$AW$3)=TRUE,1,0)</f>
        <v>1</v>
      </c>
      <c r="P303" s="170">
        <f>IF(AND(Daten!$Z303&lt;=KINVARO!$AW$4,Daten!$AA303&gt;=KINVARO!$AW$4)=TRUE,1,0)</f>
        <v>0</v>
      </c>
      <c r="R303" s="170">
        <f>IF(AND(Daten!$AC303&lt;='Material+Limits'!$I$58,Daten!$AD303&gt;='Material+Limits'!$I$58)=TRUE,1,0)</f>
        <v>0</v>
      </c>
      <c r="S303" s="29">
        <f ca="1">IF(Daten!$X303=Sprache!$A$125,1,0)</f>
        <v>1</v>
      </c>
      <c r="T303" s="28" t="str">
        <f ca="1">Sprache!$A$58</f>
        <v>Podnośnik T-65</v>
      </c>
      <c r="U303" s="32">
        <v>16</v>
      </c>
      <c r="V303" s="29">
        <v>16</v>
      </c>
      <c r="W303" s="30">
        <f ca="1">Sprache!$A$131</f>
        <v>0</v>
      </c>
      <c r="X303" s="30">
        <f ca="1">Sprache!$A$126</f>
        <v>0</v>
      </c>
      <c r="Y303" s="30" t="str">
        <f ca="1">Sprache!$A$69</f>
        <v>Front</v>
      </c>
      <c r="Z303" s="30">
        <v>450</v>
      </c>
      <c r="AA303" s="28">
        <v>499</v>
      </c>
      <c r="AB303" s="30"/>
      <c r="AC303" s="31">
        <v>1.3</v>
      </c>
      <c r="AD303" s="53">
        <v>4.2</v>
      </c>
      <c r="AE303" s="30" t="s">
        <v>812</v>
      </c>
      <c r="AF303" s="30" t="str">
        <f ca="1">Sprache!$A$101</f>
        <v>Zestaw (prawy+lewy)</v>
      </c>
      <c r="AG303" s="30" t="s">
        <v>26</v>
      </c>
      <c r="AH303" s="30" t="str">
        <f ca="1">Sprache!$A$121</f>
        <v>Sprężyna czarna dwustronnie</v>
      </c>
      <c r="AI303" s="30" t="s">
        <v>26</v>
      </c>
      <c r="AJ303" s="30" t="s">
        <v>26</v>
      </c>
      <c r="AK303" s="30">
        <f>'Material+Limits'!$K$9</f>
        <v>200</v>
      </c>
      <c r="AL303" s="28">
        <v>1200</v>
      </c>
      <c r="AM303" s="30"/>
      <c r="AN303" s="28"/>
      <c r="AO303"/>
      <c r="AR303"/>
      <c r="AS303"/>
      <c r="AT303"/>
      <c r="AU303"/>
      <c r="AV303"/>
    </row>
    <row r="304" spans="1:48" x14ac:dyDescent="0.25">
      <c r="A304" t="str">
        <f t="shared" ca="1" si="9"/>
        <v/>
      </c>
      <c r="B304" t="str">
        <f t="shared" ca="1" si="8"/>
        <v/>
      </c>
      <c r="C304" s="79">
        <f>IF('Material+Limits'!$P$6=TRUE,1,0)</f>
        <v>0</v>
      </c>
      <c r="D304" s="39">
        <f>IF(Daten!$O304+Daten!$P304+Daten!$R304=3,1,0)</f>
        <v>0</v>
      </c>
      <c r="E304" s="184">
        <f ca="1">IF(AND('Material+Limits'!$Q$21=TRUE,Daten!N304=1)=TRUE,1,0)</f>
        <v>0</v>
      </c>
      <c r="F304" s="185">
        <f>IF(AND('Material+Limits'!$Q$25=TRUE,Daten!M304=1)=TRUE,1,0)</f>
        <v>0</v>
      </c>
      <c r="G304" s="185">
        <f>IF(AND('Material+Limits'!$Q$24=TRUE,Daten!L304=1)=TRUE,1,0)</f>
        <v>0</v>
      </c>
      <c r="H304" s="185">
        <f>IF(AND('Material+Limits'!$Q$23=TRUE,Daten!K304=1)=TRUE,1,0)</f>
        <v>0</v>
      </c>
      <c r="I304" s="185">
        <f>IF(AND('Material+Limits'!$Q$22=TRUE,Daten!J304=1)=TRUE,1,0)</f>
        <v>0</v>
      </c>
      <c r="J304" s="158">
        <f>IF(Daten!$U304=13,1,0)</f>
        <v>0</v>
      </c>
      <c r="K304" s="159">
        <f>IF(Daten!$U304&lt;&gt;Daten!$V304,1,IF(Daten!$U304=14,1,0))</f>
        <v>0</v>
      </c>
      <c r="L304" s="159">
        <f>IF(Daten!$U304&lt;&gt;Daten!$V304,1,IF(Daten!$U304=16,1,0))</f>
        <v>0</v>
      </c>
      <c r="M304" s="159">
        <f>IF(Daten!$V304=17,1,0)</f>
        <v>1</v>
      </c>
      <c r="N304" s="160">
        <f ca="1">IF(Daten!$W304=Sprache!$A$60,1,0)</f>
        <v>0</v>
      </c>
      <c r="O304" s="171">
        <f>IF(AND(Daten!$AK304&lt;=KINVARO!$AW$3,Daten!$AL304&gt;=KINVARO!$AW$3)=TRUE,1,0)</f>
        <v>1</v>
      </c>
      <c r="P304" s="172">
        <f>IF(AND(Daten!$Z304&lt;=KINVARO!$AW$4,Daten!$AA304&gt;=KINVARO!$AW$4)=TRUE,1,0)</f>
        <v>0</v>
      </c>
      <c r="Q304" s="172"/>
      <c r="R304" s="172">
        <f>IF(AND(Daten!$AC304&lt;='Material+Limits'!$I$58,Daten!$AD304&gt;='Material+Limits'!$I$58)=TRUE,1,0)</f>
        <v>0</v>
      </c>
      <c r="S304" s="23">
        <f ca="1">IF(Daten!$X304=Sprache!$A$125,1,0)</f>
        <v>1</v>
      </c>
      <c r="T304" s="24" t="str">
        <f ca="1">Sprache!$A$58</f>
        <v>Podnośnik T-65</v>
      </c>
      <c r="U304" s="27">
        <v>17</v>
      </c>
      <c r="V304" s="23">
        <v>17</v>
      </c>
      <c r="W304" s="25">
        <f ca="1">Sprache!$A$131</f>
        <v>0</v>
      </c>
      <c r="X304" s="25">
        <f ca="1">Sprache!$A$126</f>
        <v>0</v>
      </c>
      <c r="Y304" s="25" t="str">
        <f ca="1">Sprache!$A$69</f>
        <v>Front</v>
      </c>
      <c r="Z304" s="25">
        <v>450</v>
      </c>
      <c r="AA304" s="24">
        <v>499</v>
      </c>
      <c r="AB304" s="25"/>
      <c r="AC304" s="26">
        <v>0.7</v>
      </c>
      <c r="AD304" s="54">
        <v>2.2000000000000002</v>
      </c>
      <c r="AE304" s="25" t="s">
        <v>813</v>
      </c>
      <c r="AF304" s="25" t="str">
        <f ca="1">Sprache!$A$101</f>
        <v>Zestaw (prawy+lewy)</v>
      </c>
      <c r="AG304" s="25" t="s">
        <v>26</v>
      </c>
      <c r="AH304" s="25" t="str">
        <f ca="1">Sprache!$A$120</f>
        <v>Sprężyna żółta dwustronnie</v>
      </c>
      <c r="AI304" s="25" t="s">
        <v>26</v>
      </c>
      <c r="AJ304" s="25" t="s">
        <v>26</v>
      </c>
      <c r="AK304" s="25">
        <f>'Material+Limits'!$K$9</f>
        <v>200</v>
      </c>
      <c r="AL304" s="24">
        <v>1200</v>
      </c>
      <c r="AM304" s="30"/>
      <c r="AN304" s="24"/>
      <c r="AO304"/>
      <c r="AR304"/>
      <c r="AS304"/>
      <c r="AT304"/>
      <c r="AU304"/>
      <c r="AV304"/>
    </row>
    <row r="305" spans="1:48" s="5" customFormat="1" x14ac:dyDescent="0.25">
      <c r="A305" t="str">
        <f t="shared" ca="1" si="9"/>
        <v/>
      </c>
      <c r="B305" t="str">
        <f t="shared" ca="1" si="8"/>
        <v/>
      </c>
      <c r="C305" s="79">
        <f>IF('Material+Limits'!$P$6=TRUE,1,0)</f>
        <v>0</v>
      </c>
      <c r="D305" s="39">
        <f>IF(Daten!$O305+Daten!$P305+Daten!$R305=3,1,0)</f>
        <v>0</v>
      </c>
      <c r="E305" s="184">
        <f ca="1">IF(AND('Material+Limits'!$Q$21=TRUE,Daten!N305=1)=TRUE,1,0)</f>
        <v>0</v>
      </c>
      <c r="F305" s="185">
        <f>IF(AND('Material+Limits'!$Q$25=TRUE,Daten!M305=1)=TRUE,1,0)</f>
        <v>0</v>
      </c>
      <c r="G305" s="185">
        <f>IF(AND('Material+Limits'!$Q$24=TRUE,Daten!L305=1)=TRUE,1,0)</f>
        <v>0</v>
      </c>
      <c r="H305" s="185">
        <f>IF(AND('Material+Limits'!$Q$23=TRUE,Daten!K305=1)=TRUE,1,0)</f>
        <v>0</v>
      </c>
      <c r="I305" s="185">
        <f>IF(AND('Material+Limits'!$Q$22=TRUE,Daten!J305=1)=TRUE,1,0)</f>
        <v>0</v>
      </c>
      <c r="J305" s="155">
        <f>IF(Daten!$U305=13,1,0)</f>
        <v>0</v>
      </c>
      <c r="K305" s="156">
        <f>IF(Daten!$U305&lt;&gt;Daten!$V305,1,IF(Daten!$U305=14,1,0))</f>
        <v>0</v>
      </c>
      <c r="L305" s="156">
        <f>IF(Daten!$U305&lt;&gt;Daten!$V305,1,IF(Daten!$U305=16,1,0))</f>
        <v>0</v>
      </c>
      <c r="M305" s="156">
        <f>IF(Daten!$V305=17,1,0)</f>
        <v>1</v>
      </c>
      <c r="N305" s="157">
        <f ca="1">IF(Daten!$W305=Sprache!$A$60,1,0)</f>
        <v>0</v>
      </c>
      <c r="O305" s="169">
        <f>IF(AND(Daten!$AK305&lt;=KINVARO!$AW$3,Daten!$AL305&gt;=KINVARO!$AW$3)=TRUE,1,0)</f>
        <v>1</v>
      </c>
      <c r="P305" s="170">
        <f>IF(AND(Daten!$Z305&lt;=KINVARO!$AW$4,Daten!$AA305&gt;=KINVARO!$AW$4)=TRUE,1,0)</f>
        <v>0</v>
      </c>
      <c r="Q305" s="170"/>
      <c r="R305" s="170">
        <f>IF(AND(Daten!$AC305&lt;='Material+Limits'!$I$58,Daten!$AD305&gt;='Material+Limits'!$I$58)=TRUE,1,0)</f>
        <v>0</v>
      </c>
      <c r="S305" s="29">
        <f ca="1">IF(Daten!$X305=Sprache!$A$125,1,0)</f>
        <v>1</v>
      </c>
      <c r="T305" s="28" t="str">
        <f ca="1">Sprache!$A$58</f>
        <v>Podnośnik T-65</v>
      </c>
      <c r="U305" s="32">
        <v>17</v>
      </c>
      <c r="V305" s="29">
        <v>17</v>
      </c>
      <c r="W305" s="30">
        <f ca="1">Sprache!$A$131</f>
        <v>0</v>
      </c>
      <c r="X305" s="30">
        <f ca="1">Sprache!$A$126</f>
        <v>0</v>
      </c>
      <c r="Y305" s="30" t="str">
        <f ca="1">Sprache!$A$69</f>
        <v>Front</v>
      </c>
      <c r="Z305" s="30">
        <v>450</v>
      </c>
      <c r="AA305" s="28">
        <v>499</v>
      </c>
      <c r="AB305" s="30"/>
      <c r="AC305" s="31">
        <v>1.3</v>
      </c>
      <c r="AD305" s="53">
        <v>4.2</v>
      </c>
      <c r="AE305" s="30" t="s">
        <v>813</v>
      </c>
      <c r="AF305" s="30" t="str">
        <f ca="1">Sprache!$A$101</f>
        <v>Zestaw (prawy+lewy)</v>
      </c>
      <c r="AG305" s="30" t="s">
        <v>26</v>
      </c>
      <c r="AH305" s="30" t="str">
        <f ca="1">Sprache!$A$121</f>
        <v>Sprężyna czarna dwustronnie</v>
      </c>
      <c r="AI305" s="30" t="s">
        <v>26</v>
      </c>
      <c r="AJ305" s="30" t="s">
        <v>26</v>
      </c>
      <c r="AK305" s="30">
        <f>'Material+Limits'!$K$9</f>
        <v>200</v>
      </c>
      <c r="AL305" s="28">
        <v>1200</v>
      </c>
      <c r="AM305" s="30"/>
      <c r="AN305" s="28"/>
    </row>
    <row r="306" spans="1:48" x14ac:dyDescent="0.25">
      <c r="A306" t="str">
        <f t="shared" ca="1" si="9"/>
        <v/>
      </c>
      <c r="B306" t="str">
        <f t="shared" ca="1" si="8"/>
        <v/>
      </c>
      <c r="C306" s="79">
        <f>IF('Material+Limits'!$P$6=TRUE,1,0)</f>
        <v>0</v>
      </c>
      <c r="D306" s="39">
        <f>IF(Daten!$O306+Daten!$P306+Daten!$R306=3,1,0)</f>
        <v>0</v>
      </c>
      <c r="E306" s="184">
        <f ca="1">IF(AND('Material+Limits'!$Q$21=TRUE,Daten!N306=1)=TRUE,1,0)</f>
        <v>1</v>
      </c>
      <c r="F306" s="185">
        <f ca="1">IF(AND('Material+Limits'!$Q$25=TRUE,Daten!M306=1)=TRUE,1,0)</f>
        <v>0</v>
      </c>
      <c r="G306" s="185">
        <f ca="1">IF(AND('Material+Limits'!$Q$24=TRUE,Daten!L306=1)=TRUE,1,0)</f>
        <v>0</v>
      </c>
      <c r="H306" s="185">
        <f ca="1">IF(AND('Material+Limits'!$Q$23=TRUE,Daten!K306=1)=TRUE,1,0)</f>
        <v>0</v>
      </c>
      <c r="I306" s="185">
        <f ca="1">IF(AND('Material+Limits'!$Q$22=TRUE,Daten!J306=1)=TRUE,1,0)</f>
        <v>0</v>
      </c>
      <c r="J306" s="158">
        <f ca="1">IF(Daten!$U306=13,1,0)</f>
        <v>0</v>
      </c>
      <c r="K306" s="159">
        <f ca="1">IF(Daten!$U306&lt;&gt;Daten!$V306,1,IF(Daten!$U306=14,1,0))</f>
        <v>0</v>
      </c>
      <c r="L306" s="159">
        <f ca="1">IF(Daten!$U306&lt;&gt;Daten!$V306,1,IF(Daten!$U306=16,1,0))</f>
        <v>0</v>
      </c>
      <c r="M306" s="159">
        <f ca="1">IF(Daten!$V306=17,1,0)</f>
        <v>0</v>
      </c>
      <c r="N306" s="160">
        <f ca="1">IF(Daten!$W306=Sprache!$A$60,1,0)</f>
        <v>1</v>
      </c>
      <c r="O306" s="173">
        <f>IF(AND(Daten!$AK306&lt;=KINVARO!$AW$3,Daten!$AL306&gt;=KINVARO!$AW$3)=TRUE,1,0)</f>
        <v>1</v>
      </c>
      <c r="P306" s="174">
        <f>IF(AND(Daten!$Z306&lt;=KINVARO!$AW$4,Daten!$AA306&gt;=KINVARO!$AW$4)=TRUE,1,0)</f>
        <v>0</v>
      </c>
      <c r="Q306" s="174"/>
      <c r="R306" s="174">
        <f>IF(AND(Daten!$AC306&lt;='Material+Limits'!$I$58,Daten!$AD306&gt;='Material+Limits'!$I$58)=TRUE,1,0)</f>
        <v>0</v>
      </c>
      <c r="S306" s="38">
        <f ca="1">IF(Daten!$X306=Sprache!$A$125,1,0)</f>
        <v>1</v>
      </c>
      <c r="T306" s="57" t="str">
        <f ca="1">Sprache!$A$58</f>
        <v>Podnośnik T-65</v>
      </c>
      <c r="U306" s="55">
        <f ca="1">Sprache!$A$64</f>
        <v>0</v>
      </c>
      <c r="V306" s="38">
        <f ca="1">Sprache!$A$64</f>
        <v>0</v>
      </c>
      <c r="W306" s="56" t="str">
        <f ca="1">Sprache!$A$60</f>
        <v>Front lity (drewno/płyta)</v>
      </c>
      <c r="X306" s="25">
        <f ca="1">Sprache!$A$126</f>
        <v>0</v>
      </c>
      <c r="Y306" s="56" t="str">
        <f ca="1">Sprache!$A$69</f>
        <v>Front</v>
      </c>
      <c r="Z306" s="56">
        <v>500</v>
      </c>
      <c r="AA306" s="57">
        <v>549</v>
      </c>
      <c r="AB306" s="56"/>
      <c r="AC306" s="58">
        <v>0.6</v>
      </c>
      <c r="AD306" s="59">
        <v>2</v>
      </c>
      <c r="AE306" s="56" t="s">
        <v>809</v>
      </c>
      <c r="AF306" s="56" t="str">
        <f ca="1">Sprache!$A$101</f>
        <v>Zestaw (prawy+lewy)</v>
      </c>
      <c r="AG306" s="56" t="s">
        <v>26</v>
      </c>
      <c r="AH306" s="56" t="str">
        <f ca="1">Sprache!$A$120</f>
        <v>Sprężyna żółta dwustronnie</v>
      </c>
      <c r="AI306" s="25" t="s">
        <v>26</v>
      </c>
      <c r="AJ306" s="25" t="s">
        <v>26</v>
      </c>
      <c r="AK306" s="56">
        <f>'Material+Limits'!$K$9</f>
        <v>200</v>
      </c>
      <c r="AL306" s="57">
        <v>1200</v>
      </c>
      <c r="AM306" s="30"/>
      <c r="AN306" s="24"/>
      <c r="AO306"/>
      <c r="AR306"/>
      <c r="AS306"/>
      <c r="AT306"/>
      <c r="AU306"/>
      <c r="AV306"/>
    </row>
    <row r="307" spans="1:48" x14ac:dyDescent="0.25">
      <c r="A307" t="str">
        <f t="shared" ca="1" si="9"/>
        <v/>
      </c>
      <c r="B307" t="str">
        <f t="shared" ca="1" si="8"/>
        <v/>
      </c>
      <c r="C307" s="79">
        <f>IF('Material+Limits'!$P$6=TRUE,1,0)</f>
        <v>0</v>
      </c>
      <c r="D307" s="39">
        <f>IF(Daten!$O307+Daten!$P307+Daten!$R307=3,1,0)</f>
        <v>0</v>
      </c>
      <c r="E307" s="184">
        <f ca="1">IF(AND('Material+Limits'!$Q$21=TRUE,Daten!N307=1)=TRUE,1,0)</f>
        <v>1</v>
      </c>
      <c r="F307" s="185">
        <f ca="1">IF(AND('Material+Limits'!$Q$25=TRUE,Daten!M307=1)=TRUE,1,0)</f>
        <v>0</v>
      </c>
      <c r="G307" s="185">
        <f ca="1">IF(AND('Material+Limits'!$Q$24=TRUE,Daten!L307=1)=TRUE,1,0)</f>
        <v>0</v>
      </c>
      <c r="H307" s="185">
        <f ca="1">IF(AND('Material+Limits'!$Q$23=TRUE,Daten!K307=1)=TRUE,1,0)</f>
        <v>0</v>
      </c>
      <c r="I307" s="185">
        <f ca="1">IF(AND('Material+Limits'!$Q$22=TRUE,Daten!J307=1)=TRUE,1,0)</f>
        <v>0</v>
      </c>
      <c r="J307" s="155">
        <f ca="1">IF(Daten!$U307=13,1,0)</f>
        <v>0</v>
      </c>
      <c r="K307" s="156">
        <f ca="1">IF(Daten!$U307&lt;&gt;Daten!$V307,1,IF(Daten!$U307=14,1,0))</f>
        <v>0</v>
      </c>
      <c r="L307" s="156">
        <f ca="1">IF(Daten!$U307&lt;&gt;Daten!$V307,1,IF(Daten!$U307=16,1,0))</f>
        <v>0</v>
      </c>
      <c r="M307" s="156">
        <f ca="1">IF(Daten!$V307=17,1,0)</f>
        <v>0</v>
      </c>
      <c r="N307" s="157">
        <f ca="1">IF(Daten!$W307=Sprache!$A$60,1,0)</f>
        <v>1</v>
      </c>
      <c r="O307" s="169">
        <f>IF(AND(Daten!$AK307&lt;=KINVARO!$AW$3,Daten!$AL307&gt;=KINVARO!$AW$3)=TRUE,1,0)</f>
        <v>1</v>
      </c>
      <c r="P307" s="170">
        <f>IF(AND(Daten!$Z307&lt;=KINVARO!$AW$4,Daten!$AA307&gt;=KINVARO!$AW$4)=TRUE,1,0)</f>
        <v>0</v>
      </c>
      <c r="R307" s="170">
        <f>IF(AND(Daten!$AC307&lt;='Material+Limits'!$I$58,Daten!$AD307&gt;='Material+Limits'!$I$58)=TRUE,1,0)</f>
        <v>0</v>
      </c>
      <c r="S307" s="29">
        <f ca="1">IF(Daten!$X307=Sprache!$A$125,1,0)</f>
        <v>1</v>
      </c>
      <c r="T307" s="28" t="str">
        <f ca="1">Sprache!$A$58</f>
        <v>Podnośnik T-65</v>
      </c>
      <c r="U307" s="32">
        <f ca="1">Sprache!$A$64</f>
        <v>0</v>
      </c>
      <c r="V307" s="29">
        <f ca="1">Sprache!$A$64</f>
        <v>0</v>
      </c>
      <c r="W307" s="30" t="str">
        <f ca="1">Sprache!$A$60</f>
        <v>Front lity (drewno/płyta)</v>
      </c>
      <c r="X307" s="30">
        <f ca="1">Sprache!$A$126</f>
        <v>0</v>
      </c>
      <c r="Y307" s="30" t="str">
        <f ca="1">Sprache!$A$69</f>
        <v>Front</v>
      </c>
      <c r="Z307" s="30">
        <v>500</v>
      </c>
      <c r="AA307" s="28">
        <v>549</v>
      </c>
      <c r="AB307" s="30"/>
      <c r="AC307" s="31">
        <v>1.3</v>
      </c>
      <c r="AD307" s="53">
        <v>3.9</v>
      </c>
      <c r="AE307" s="30" t="s">
        <v>809</v>
      </c>
      <c r="AF307" s="30" t="str">
        <f ca="1">Sprache!$A$101</f>
        <v>Zestaw (prawy+lewy)</v>
      </c>
      <c r="AG307" s="30" t="s">
        <v>26</v>
      </c>
      <c r="AH307" s="30" t="str">
        <f ca="1">Sprache!$A$121</f>
        <v>Sprężyna czarna dwustronnie</v>
      </c>
      <c r="AI307" s="30" t="s">
        <v>26</v>
      </c>
      <c r="AJ307" s="30" t="s">
        <v>26</v>
      </c>
      <c r="AK307" s="30">
        <f>'Material+Limits'!$K$9</f>
        <v>200</v>
      </c>
      <c r="AL307" s="28">
        <v>1200</v>
      </c>
      <c r="AM307" s="30"/>
      <c r="AN307" s="28"/>
      <c r="AO307"/>
      <c r="AR307"/>
      <c r="AS307"/>
      <c r="AT307"/>
      <c r="AU307"/>
      <c r="AV307"/>
    </row>
    <row r="308" spans="1:48" x14ac:dyDescent="0.25">
      <c r="A308" t="str">
        <f t="shared" ca="1" si="9"/>
        <v/>
      </c>
      <c r="B308" t="str">
        <f t="shared" ca="1" si="8"/>
        <v/>
      </c>
      <c r="C308" s="79">
        <f>IF('Material+Limits'!$P$6=TRUE,1,0)</f>
        <v>0</v>
      </c>
      <c r="D308" s="39">
        <f>IF(Daten!$O308+Daten!$P308+Daten!$R308=3,1,0)</f>
        <v>0</v>
      </c>
      <c r="E308" s="184">
        <f ca="1">IF(AND('Material+Limits'!$Q$21=TRUE,Daten!N308=1)=TRUE,1,0)</f>
        <v>0</v>
      </c>
      <c r="F308" s="185">
        <f>IF(AND('Material+Limits'!$Q$25=TRUE,Daten!M308=1)=TRUE,1,0)</f>
        <v>0</v>
      </c>
      <c r="G308" s="185">
        <f>IF(AND('Material+Limits'!$Q$24=TRUE,Daten!L308=1)=TRUE,1,0)</f>
        <v>0</v>
      </c>
      <c r="H308" s="185">
        <f>IF(AND('Material+Limits'!$Q$23=TRUE,Daten!K308=1)=TRUE,1,0)</f>
        <v>0</v>
      </c>
      <c r="I308" s="185">
        <f>IF(AND('Material+Limits'!$Q$22=TRUE,Daten!J308=1)=TRUE,1,0)</f>
        <v>0</v>
      </c>
      <c r="J308" s="158">
        <f>IF(Daten!$U308=13,1,0)</f>
        <v>1</v>
      </c>
      <c r="K308" s="159">
        <f>IF(Daten!$U308&lt;&gt;Daten!$V308,1,IF(Daten!$U308=14,1,0))</f>
        <v>0</v>
      </c>
      <c r="L308" s="159">
        <f>IF(Daten!$U308&lt;&gt;Daten!$V308,1,IF(Daten!$U308=16,1,0))</f>
        <v>0</v>
      </c>
      <c r="M308" s="159">
        <f>IF(Daten!$V308=17,1,0)</f>
        <v>0</v>
      </c>
      <c r="N308" s="160">
        <f ca="1">IF(Daten!$W308=Sprache!$A$60,1,0)</f>
        <v>0</v>
      </c>
      <c r="O308" s="171">
        <f>IF(AND(Daten!$AK308&lt;=KINVARO!$AW$3,Daten!$AL308&gt;=KINVARO!$AW$3)=TRUE,1,0)</f>
        <v>1</v>
      </c>
      <c r="P308" s="172">
        <f>IF(AND(Daten!$Z308&lt;=KINVARO!$AW$4,Daten!$AA308&gt;=KINVARO!$AW$4)=TRUE,1,0)</f>
        <v>0</v>
      </c>
      <c r="Q308" s="172"/>
      <c r="R308" s="172">
        <f>IF(AND(Daten!$AC308&lt;='Material+Limits'!$I$58,Daten!$AD308&gt;='Material+Limits'!$I$58)=TRUE,1,0)</f>
        <v>0</v>
      </c>
      <c r="S308" s="23">
        <f ca="1">IF(Daten!$X308=Sprache!$A$125,1,0)</f>
        <v>1</v>
      </c>
      <c r="T308" s="24" t="str">
        <f ca="1">Sprache!$A$58</f>
        <v>Podnośnik T-65</v>
      </c>
      <c r="U308" s="27">
        <v>13</v>
      </c>
      <c r="V308" s="23">
        <v>13</v>
      </c>
      <c r="W308" s="25">
        <f ca="1">Sprache!$A$131</f>
        <v>0</v>
      </c>
      <c r="X308" s="25">
        <f ca="1">Sprache!$A$126</f>
        <v>0</v>
      </c>
      <c r="Y308" s="25" t="str">
        <f ca="1">Sprache!$A$69</f>
        <v>Front</v>
      </c>
      <c r="Z308" s="25">
        <v>500</v>
      </c>
      <c r="AA308" s="24">
        <v>549</v>
      </c>
      <c r="AB308" s="25"/>
      <c r="AC308" s="26">
        <v>0.6</v>
      </c>
      <c r="AD308" s="54">
        <v>2</v>
      </c>
      <c r="AE308" s="25" t="s">
        <v>810</v>
      </c>
      <c r="AF308" s="25" t="str">
        <f ca="1">Sprache!$A$101</f>
        <v>Zestaw (prawy+lewy)</v>
      </c>
      <c r="AG308" s="25" t="s">
        <v>26</v>
      </c>
      <c r="AH308" s="25" t="str">
        <f ca="1">Sprache!$A$120</f>
        <v>Sprężyna żółta dwustronnie</v>
      </c>
      <c r="AI308" s="25" t="s">
        <v>26</v>
      </c>
      <c r="AJ308" s="25" t="s">
        <v>26</v>
      </c>
      <c r="AK308" s="25">
        <f>'Material+Limits'!$K$9</f>
        <v>200</v>
      </c>
      <c r="AL308" s="24">
        <v>1200</v>
      </c>
      <c r="AM308" s="30"/>
      <c r="AN308" s="24"/>
      <c r="AO308"/>
      <c r="AR308"/>
      <c r="AS308"/>
      <c r="AT308"/>
      <c r="AU308"/>
      <c r="AV308"/>
    </row>
    <row r="309" spans="1:48" x14ac:dyDescent="0.25">
      <c r="A309" t="str">
        <f t="shared" ca="1" si="9"/>
        <v/>
      </c>
      <c r="B309" t="str">
        <f t="shared" ca="1" si="8"/>
        <v/>
      </c>
      <c r="C309" s="79">
        <f>IF('Material+Limits'!$P$6=TRUE,1,0)</f>
        <v>0</v>
      </c>
      <c r="D309" s="39">
        <f>IF(Daten!$O309+Daten!$P309+Daten!$R309=3,1,0)</f>
        <v>0</v>
      </c>
      <c r="E309" s="184">
        <f ca="1">IF(AND('Material+Limits'!$Q$21=TRUE,Daten!N309=1)=TRUE,1,0)</f>
        <v>0</v>
      </c>
      <c r="F309" s="185">
        <f>IF(AND('Material+Limits'!$Q$25=TRUE,Daten!M309=1)=TRUE,1,0)</f>
        <v>0</v>
      </c>
      <c r="G309" s="185">
        <f>IF(AND('Material+Limits'!$Q$24=TRUE,Daten!L309=1)=TRUE,1,0)</f>
        <v>0</v>
      </c>
      <c r="H309" s="185">
        <f>IF(AND('Material+Limits'!$Q$23=TRUE,Daten!K309=1)=TRUE,1,0)</f>
        <v>0</v>
      </c>
      <c r="I309" s="185">
        <f>IF(AND('Material+Limits'!$Q$22=TRUE,Daten!J309=1)=TRUE,1,0)</f>
        <v>0</v>
      </c>
      <c r="J309" s="155">
        <f>IF(Daten!$U309=13,1,0)</f>
        <v>1</v>
      </c>
      <c r="K309" s="156">
        <f>IF(Daten!$U309&lt;&gt;Daten!$V309,1,IF(Daten!$U309=14,1,0))</f>
        <v>0</v>
      </c>
      <c r="L309" s="156">
        <f>IF(Daten!$U309&lt;&gt;Daten!$V309,1,IF(Daten!$U309=16,1,0))</f>
        <v>0</v>
      </c>
      <c r="M309" s="156">
        <f>IF(Daten!$V309=17,1,0)</f>
        <v>0</v>
      </c>
      <c r="N309" s="157">
        <f ca="1">IF(Daten!$W309=Sprache!$A$60,1,0)</f>
        <v>0</v>
      </c>
      <c r="O309" s="169">
        <f>IF(AND(Daten!$AK309&lt;=KINVARO!$AW$3,Daten!$AL309&gt;=KINVARO!$AW$3)=TRUE,1,0)</f>
        <v>1</v>
      </c>
      <c r="P309" s="170">
        <f>IF(AND(Daten!$Z309&lt;=KINVARO!$AW$4,Daten!$AA309&gt;=KINVARO!$AW$4)=TRUE,1,0)</f>
        <v>0</v>
      </c>
      <c r="R309" s="170">
        <f>IF(AND(Daten!$AC309&lt;='Material+Limits'!$I$58,Daten!$AD309&gt;='Material+Limits'!$I$58)=TRUE,1,0)</f>
        <v>0</v>
      </c>
      <c r="S309" s="29">
        <f ca="1">IF(Daten!$X309=Sprache!$A$125,1,0)</f>
        <v>1</v>
      </c>
      <c r="T309" s="28" t="str">
        <f ca="1">Sprache!$A$58</f>
        <v>Podnośnik T-65</v>
      </c>
      <c r="U309" s="32">
        <v>13</v>
      </c>
      <c r="V309" s="29">
        <v>13</v>
      </c>
      <c r="W309" s="30">
        <f ca="1">Sprache!$A$131</f>
        <v>0</v>
      </c>
      <c r="X309" s="30">
        <f ca="1">Sprache!$A$126</f>
        <v>0</v>
      </c>
      <c r="Y309" s="30" t="str">
        <f ca="1">Sprache!$A$69</f>
        <v>Front</v>
      </c>
      <c r="Z309" s="30">
        <v>500</v>
      </c>
      <c r="AA309" s="28">
        <v>549</v>
      </c>
      <c r="AB309" s="30"/>
      <c r="AC309" s="31">
        <v>1.3</v>
      </c>
      <c r="AD309" s="53">
        <v>3.9</v>
      </c>
      <c r="AE309" s="30" t="s">
        <v>810</v>
      </c>
      <c r="AF309" s="30" t="str">
        <f ca="1">Sprache!$A$101</f>
        <v>Zestaw (prawy+lewy)</v>
      </c>
      <c r="AG309" s="30" t="s">
        <v>26</v>
      </c>
      <c r="AH309" s="30" t="str">
        <f ca="1">Sprache!$A$121</f>
        <v>Sprężyna czarna dwustronnie</v>
      </c>
      <c r="AI309" s="30" t="s">
        <v>26</v>
      </c>
      <c r="AJ309" s="30" t="s">
        <v>26</v>
      </c>
      <c r="AK309" s="30">
        <f>'Material+Limits'!$K$9</f>
        <v>200</v>
      </c>
      <c r="AL309" s="28">
        <v>1200</v>
      </c>
      <c r="AM309" s="30"/>
      <c r="AN309" s="28"/>
      <c r="AO309"/>
      <c r="AR309"/>
      <c r="AS309"/>
      <c r="AT309"/>
      <c r="AU309"/>
      <c r="AV309"/>
    </row>
    <row r="310" spans="1:48" x14ac:dyDescent="0.25">
      <c r="A310" t="str">
        <f t="shared" ca="1" si="9"/>
        <v/>
      </c>
      <c r="B310" t="str">
        <f t="shared" ca="1" si="8"/>
        <v/>
      </c>
      <c r="C310" s="79">
        <f>IF('Material+Limits'!$P$6=TRUE,1,0)</f>
        <v>0</v>
      </c>
      <c r="D310" s="39">
        <f>IF(Daten!$O310+Daten!$P310+Daten!$R310=3,1,0)</f>
        <v>0</v>
      </c>
      <c r="E310" s="184">
        <f ca="1">IF(AND('Material+Limits'!$Q$21=TRUE,Daten!N310=1)=TRUE,1,0)</f>
        <v>0</v>
      </c>
      <c r="F310" s="185">
        <f>IF(AND('Material+Limits'!$Q$25=TRUE,Daten!M310=1)=TRUE,1,0)</f>
        <v>0</v>
      </c>
      <c r="G310" s="185">
        <f>IF(AND('Material+Limits'!$Q$24=TRUE,Daten!L310=1)=TRUE,1,0)</f>
        <v>0</v>
      </c>
      <c r="H310" s="185">
        <f>IF(AND('Material+Limits'!$Q$23=TRUE,Daten!K310=1)=TRUE,1,0)</f>
        <v>0</v>
      </c>
      <c r="I310" s="185">
        <f>IF(AND('Material+Limits'!$Q$22=TRUE,Daten!J310=1)=TRUE,1,0)</f>
        <v>0</v>
      </c>
      <c r="J310" s="158">
        <f>IF(Daten!$U310=13,1,0)</f>
        <v>0</v>
      </c>
      <c r="K310" s="159">
        <f>IF(Daten!$U310&lt;&gt;Daten!$V310,1,IF(Daten!$U310=14,1,0))</f>
        <v>1</v>
      </c>
      <c r="L310" s="159">
        <f>IF(Daten!$U310&lt;&gt;Daten!$V310,1,IF(Daten!$U310=16,1,0))</f>
        <v>0</v>
      </c>
      <c r="M310" s="159">
        <f>IF(Daten!$V310=17,1,0)</f>
        <v>0</v>
      </c>
      <c r="N310" s="160">
        <f ca="1">IF(Daten!$W310=Sprache!$A$60,1,0)</f>
        <v>0</v>
      </c>
      <c r="O310" s="171">
        <f>IF(AND(Daten!$AK310&lt;=KINVARO!$AW$3,Daten!$AL310&gt;=KINVARO!$AW$3)=TRUE,1,0)</f>
        <v>1</v>
      </c>
      <c r="P310" s="172">
        <f>IF(AND(Daten!$Z310&lt;=KINVARO!$AW$4,Daten!$AA310&gt;=KINVARO!$AW$4)=TRUE,1,0)</f>
        <v>0</v>
      </c>
      <c r="Q310" s="172"/>
      <c r="R310" s="172">
        <f>IF(AND(Daten!$AC310&lt;='Material+Limits'!$I$58,Daten!$AD310&gt;='Material+Limits'!$I$58)=TRUE,1,0)</f>
        <v>0</v>
      </c>
      <c r="S310" s="23">
        <f ca="1">IF(Daten!$X310=Sprache!$A$125,1,0)</f>
        <v>1</v>
      </c>
      <c r="T310" s="24" t="str">
        <f ca="1">Sprache!$A$58</f>
        <v>Podnośnik T-65</v>
      </c>
      <c r="U310" s="27">
        <v>14</v>
      </c>
      <c r="V310" s="23">
        <v>14</v>
      </c>
      <c r="W310" s="25">
        <f ca="1">Sprache!$A$131</f>
        <v>0</v>
      </c>
      <c r="X310" s="25">
        <f ca="1">Sprache!$A$126</f>
        <v>0</v>
      </c>
      <c r="Y310" s="25" t="str">
        <f ca="1">Sprache!$A$69</f>
        <v>Front</v>
      </c>
      <c r="Z310" s="25">
        <v>500</v>
      </c>
      <c r="AA310" s="24">
        <v>549</v>
      </c>
      <c r="AB310" s="25"/>
      <c r="AC310" s="26">
        <v>0.6</v>
      </c>
      <c r="AD310" s="54">
        <v>2</v>
      </c>
      <c r="AE310" s="25" t="s">
        <v>811</v>
      </c>
      <c r="AF310" s="25" t="str">
        <f ca="1">Sprache!$A$101</f>
        <v>Zestaw (prawy+lewy)</v>
      </c>
      <c r="AG310" s="25" t="s">
        <v>26</v>
      </c>
      <c r="AH310" s="25" t="str">
        <f ca="1">Sprache!$A$120</f>
        <v>Sprężyna żółta dwustronnie</v>
      </c>
      <c r="AI310" s="25" t="s">
        <v>26</v>
      </c>
      <c r="AJ310" s="25" t="s">
        <v>26</v>
      </c>
      <c r="AK310" s="25">
        <f>'Material+Limits'!$K$9</f>
        <v>200</v>
      </c>
      <c r="AL310" s="24">
        <v>1200</v>
      </c>
      <c r="AM310" s="30"/>
      <c r="AN310" s="24"/>
      <c r="AO310"/>
      <c r="AR310"/>
      <c r="AS310"/>
      <c r="AT310"/>
      <c r="AU310"/>
      <c r="AV310"/>
    </row>
    <row r="311" spans="1:48" x14ac:dyDescent="0.25">
      <c r="A311" t="str">
        <f t="shared" ca="1" si="9"/>
        <v/>
      </c>
      <c r="B311" t="str">
        <f t="shared" ca="1" si="8"/>
        <v/>
      </c>
      <c r="C311" s="79">
        <f>IF('Material+Limits'!$P$6=TRUE,1,0)</f>
        <v>0</v>
      </c>
      <c r="D311" s="39">
        <f>IF(Daten!$O311+Daten!$P311+Daten!$R311=3,1,0)</f>
        <v>0</v>
      </c>
      <c r="E311" s="184">
        <f ca="1">IF(AND('Material+Limits'!$Q$21=TRUE,Daten!N311=1)=TRUE,1,0)</f>
        <v>0</v>
      </c>
      <c r="F311" s="185">
        <f>IF(AND('Material+Limits'!$Q$25=TRUE,Daten!M311=1)=TRUE,1,0)</f>
        <v>0</v>
      </c>
      <c r="G311" s="185">
        <f>IF(AND('Material+Limits'!$Q$24=TRUE,Daten!L311=1)=TRUE,1,0)</f>
        <v>0</v>
      </c>
      <c r="H311" s="185">
        <f>IF(AND('Material+Limits'!$Q$23=TRUE,Daten!K311=1)=TRUE,1,0)</f>
        <v>0</v>
      </c>
      <c r="I311" s="185">
        <f>IF(AND('Material+Limits'!$Q$22=TRUE,Daten!J311=1)=TRUE,1,0)</f>
        <v>0</v>
      </c>
      <c r="J311" s="155">
        <f>IF(Daten!$U311=13,1,0)</f>
        <v>0</v>
      </c>
      <c r="K311" s="156">
        <f>IF(Daten!$U311&lt;&gt;Daten!$V311,1,IF(Daten!$U311=14,1,0))</f>
        <v>1</v>
      </c>
      <c r="L311" s="156">
        <f>IF(Daten!$U311&lt;&gt;Daten!$V311,1,IF(Daten!$U311=16,1,0))</f>
        <v>0</v>
      </c>
      <c r="M311" s="156">
        <f>IF(Daten!$V311=17,1,0)</f>
        <v>0</v>
      </c>
      <c r="N311" s="157">
        <f ca="1">IF(Daten!$W311=Sprache!$A$60,1,0)</f>
        <v>0</v>
      </c>
      <c r="O311" s="169">
        <f>IF(AND(Daten!$AK311&lt;=KINVARO!$AW$3,Daten!$AL311&gt;=KINVARO!$AW$3)=TRUE,1,0)</f>
        <v>1</v>
      </c>
      <c r="P311" s="170">
        <f>IF(AND(Daten!$Z311&lt;=KINVARO!$AW$4,Daten!$AA311&gt;=KINVARO!$AW$4)=TRUE,1,0)</f>
        <v>0</v>
      </c>
      <c r="R311" s="170">
        <f>IF(AND(Daten!$AC311&lt;='Material+Limits'!$I$58,Daten!$AD311&gt;='Material+Limits'!$I$58)=TRUE,1,0)</f>
        <v>0</v>
      </c>
      <c r="S311" s="29">
        <f ca="1">IF(Daten!$X311=Sprache!$A$125,1,0)</f>
        <v>1</v>
      </c>
      <c r="T311" s="28" t="str">
        <f ca="1">Sprache!$A$58</f>
        <v>Podnośnik T-65</v>
      </c>
      <c r="U311" s="32">
        <v>14</v>
      </c>
      <c r="V311" s="29">
        <v>14</v>
      </c>
      <c r="W311" s="30">
        <f ca="1">Sprache!$A$131</f>
        <v>0</v>
      </c>
      <c r="X311" s="30">
        <f ca="1">Sprache!$A$126</f>
        <v>0</v>
      </c>
      <c r="Y311" s="30" t="str">
        <f ca="1">Sprache!$A$69</f>
        <v>Front</v>
      </c>
      <c r="Z311" s="30">
        <v>500</v>
      </c>
      <c r="AA311" s="28">
        <v>549</v>
      </c>
      <c r="AB311" s="30"/>
      <c r="AC311" s="31">
        <v>1.3</v>
      </c>
      <c r="AD311" s="53">
        <v>3.9</v>
      </c>
      <c r="AE311" s="30" t="s">
        <v>811</v>
      </c>
      <c r="AF311" s="30" t="str">
        <f ca="1">Sprache!$A$101</f>
        <v>Zestaw (prawy+lewy)</v>
      </c>
      <c r="AG311" s="30" t="s">
        <v>26</v>
      </c>
      <c r="AH311" s="30" t="str">
        <f ca="1">Sprache!$A$121</f>
        <v>Sprężyna czarna dwustronnie</v>
      </c>
      <c r="AI311" s="30" t="s">
        <v>26</v>
      </c>
      <c r="AJ311" s="30" t="s">
        <v>26</v>
      </c>
      <c r="AK311" s="30">
        <f>'Material+Limits'!$K$9</f>
        <v>200</v>
      </c>
      <c r="AL311" s="28">
        <v>1200</v>
      </c>
      <c r="AM311" s="30"/>
      <c r="AN311" s="28"/>
      <c r="AO311"/>
      <c r="AR311"/>
      <c r="AS311"/>
      <c r="AT311"/>
      <c r="AU311"/>
      <c r="AV311"/>
    </row>
    <row r="312" spans="1:48" x14ac:dyDescent="0.25">
      <c r="A312" t="str">
        <f t="shared" ca="1" si="9"/>
        <v/>
      </c>
      <c r="B312" t="str">
        <f t="shared" ca="1" si="8"/>
        <v/>
      </c>
      <c r="C312" s="79">
        <f>IF('Material+Limits'!$P$6=TRUE,1,0)</f>
        <v>0</v>
      </c>
      <c r="D312" s="39">
        <f>IF(Daten!$O312+Daten!$P312+Daten!$R312=3,1,0)</f>
        <v>0</v>
      </c>
      <c r="E312" s="184">
        <f ca="1">IF(AND('Material+Limits'!$Q$21=TRUE,Daten!N312=1)=TRUE,1,0)</f>
        <v>0</v>
      </c>
      <c r="F312" s="185">
        <f>IF(AND('Material+Limits'!$Q$25=TRUE,Daten!M312=1)=TRUE,1,0)</f>
        <v>0</v>
      </c>
      <c r="G312" s="185">
        <f>IF(AND('Material+Limits'!$Q$24=TRUE,Daten!L312=1)=TRUE,1,0)</f>
        <v>0</v>
      </c>
      <c r="H312" s="185">
        <f>IF(AND('Material+Limits'!$Q$23=TRUE,Daten!K312=1)=TRUE,1,0)</f>
        <v>0</v>
      </c>
      <c r="I312" s="185">
        <f>IF(AND('Material+Limits'!$Q$22=TRUE,Daten!J312=1)=TRUE,1,0)</f>
        <v>0</v>
      </c>
      <c r="J312" s="158">
        <f>IF(Daten!$U312=13,1,0)</f>
        <v>0</v>
      </c>
      <c r="K312" s="159">
        <f>IF(Daten!$U312&lt;&gt;Daten!$V312,1,IF(Daten!$U312=14,1,0))</f>
        <v>0</v>
      </c>
      <c r="L312" s="159">
        <f>IF(Daten!$U312&lt;&gt;Daten!$V312,1,IF(Daten!$U312=16,1,0))</f>
        <v>1</v>
      </c>
      <c r="M312" s="159">
        <f>IF(Daten!$V312=17,1,0)</f>
        <v>0</v>
      </c>
      <c r="N312" s="160">
        <f ca="1">IF(Daten!$W312=Sprache!$A$60,1,0)</f>
        <v>0</v>
      </c>
      <c r="O312" s="171">
        <f>IF(AND(Daten!$AK312&lt;=KINVARO!$AW$3,Daten!$AL312&gt;=KINVARO!$AW$3)=TRUE,1,0)</f>
        <v>1</v>
      </c>
      <c r="P312" s="172">
        <f>IF(AND(Daten!$Z312&lt;=KINVARO!$AW$4,Daten!$AA312&gt;=KINVARO!$AW$4)=TRUE,1,0)</f>
        <v>0</v>
      </c>
      <c r="Q312" s="172"/>
      <c r="R312" s="172">
        <f>IF(AND(Daten!$AC312&lt;='Material+Limits'!$I$58,Daten!$AD312&gt;='Material+Limits'!$I$58)=TRUE,1,0)</f>
        <v>0</v>
      </c>
      <c r="S312" s="23">
        <f ca="1">IF(Daten!$X312=Sprache!$A$125,1,0)</f>
        <v>1</v>
      </c>
      <c r="T312" s="24" t="str">
        <f ca="1">Sprache!$A$58</f>
        <v>Podnośnik T-65</v>
      </c>
      <c r="U312" s="27">
        <v>16</v>
      </c>
      <c r="V312" s="23">
        <v>16</v>
      </c>
      <c r="W312" s="25">
        <f ca="1">Sprache!$A$131</f>
        <v>0</v>
      </c>
      <c r="X312" s="25">
        <f ca="1">Sprache!$A$126</f>
        <v>0</v>
      </c>
      <c r="Y312" s="25" t="str">
        <f ca="1">Sprache!$A$69</f>
        <v>Front</v>
      </c>
      <c r="Z312" s="25">
        <v>500</v>
      </c>
      <c r="AA312" s="24">
        <v>549</v>
      </c>
      <c r="AB312" s="25"/>
      <c r="AC312" s="26">
        <v>0.6</v>
      </c>
      <c r="AD312" s="54">
        <v>2</v>
      </c>
      <c r="AE312" s="25" t="s">
        <v>812</v>
      </c>
      <c r="AF312" s="25" t="str">
        <f ca="1">Sprache!$A$101</f>
        <v>Zestaw (prawy+lewy)</v>
      </c>
      <c r="AG312" s="25" t="s">
        <v>26</v>
      </c>
      <c r="AH312" s="25" t="str">
        <f ca="1">Sprache!$A$120</f>
        <v>Sprężyna żółta dwustronnie</v>
      </c>
      <c r="AI312" s="25" t="s">
        <v>26</v>
      </c>
      <c r="AJ312" s="25" t="s">
        <v>26</v>
      </c>
      <c r="AK312" s="25">
        <f>'Material+Limits'!$K$9</f>
        <v>200</v>
      </c>
      <c r="AL312" s="24">
        <v>1200</v>
      </c>
      <c r="AM312" s="30"/>
      <c r="AN312" s="24"/>
      <c r="AO312"/>
      <c r="AR312"/>
      <c r="AS312"/>
      <c r="AT312"/>
      <c r="AU312"/>
      <c r="AV312"/>
    </row>
    <row r="313" spans="1:48" x14ac:dyDescent="0.25">
      <c r="A313" t="str">
        <f t="shared" ca="1" si="9"/>
        <v/>
      </c>
      <c r="B313" t="str">
        <f t="shared" ca="1" si="8"/>
        <v/>
      </c>
      <c r="C313" s="79">
        <f>IF('Material+Limits'!$P$6=TRUE,1,0)</f>
        <v>0</v>
      </c>
      <c r="D313" s="39">
        <f>IF(Daten!$O313+Daten!$P313+Daten!$R313=3,1,0)</f>
        <v>0</v>
      </c>
      <c r="E313" s="184">
        <f ca="1">IF(AND('Material+Limits'!$Q$21=TRUE,Daten!N313=1)=TRUE,1,0)</f>
        <v>0</v>
      </c>
      <c r="F313" s="185">
        <f>IF(AND('Material+Limits'!$Q$25=TRUE,Daten!M313=1)=TRUE,1,0)</f>
        <v>0</v>
      </c>
      <c r="G313" s="185">
        <f>IF(AND('Material+Limits'!$Q$24=TRUE,Daten!L313=1)=TRUE,1,0)</f>
        <v>0</v>
      </c>
      <c r="H313" s="185">
        <f>IF(AND('Material+Limits'!$Q$23=TRUE,Daten!K313=1)=TRUE,1,0)</f>
        <v>0</v>
      </c>
      <c r="I313" s="185">
        <f>IF(AND('Material+Limits'!$Q$22=TRUE,Daten!J313=1)=TRUE,1,0)</f>
        <v>0</v>
      </c>
      <c r="J313" s="155">
        <f>IF(Daten!$U313=13,1,0)</f>
        <v>0</v>
      </c>
      <c r="K313" s="156">
        <f>IF(Daten!$U313&lt;&gt;Daten!$V313,1,IF(Daten!$U313=14,1,0))</f>
        <v>0</v>
      </c>
      <c r="L313" s="156">
        <f>IF(Daten!$U313&lt;&gt;Daten!$V313,1,IF(Daten!$U313=16,1,0))</f>
        <v>1</v>
      </c>
      <c r="M313" s="156">
        <f>IF(Daten!$V313=17,1,0)</f>
        <v>0</v>
      </c>
      <c r="N313" s="157">
        <f ca="1">IF(Daten!$W313=Sprache!$A$60,1,0)</f>
        <v>0</v>
      </c>
      <c r="O313" s="169">
        <f>IF(AND(Daten!$AK313&lt;=KINVARO!$AW$3,Daten!$AL313&gt;=KINVARO!$AW$3)=TRUE,1,0)</f>
        <v>1</v>
      </c>
      <c r="P313" s="170">
        <f>IF(AND(Daten!$Z313&lt;=KINVARO!$AW$4,Daten!$AA313&gt;=KINVARO!$AW$4)=TRUE,1,0)</f>
        <v>0</v>
      </c>
      <c r="R313" s="170">
        <f>IF(AND(Daten!$AC313&lt;='Material+Limits'!$I$58,Daten!$AD313&gt;='Material+Limits'!$I$58)=TRUE,1,0)</f>
        <v>0</v>
      </c>
      <c r="S313" s="29">
        <f ca="1">IF(Daten!$X313=Sprache!$A$125,1,0)</f>
        <v>1</v>
      </c>
      <c r="T313" s="28" t="str">
        <f ca="1">Sprache!$A$58</f>
        <v>Podnośnik T-65</v>
      </c>
      <c r="U313" s="32">
        <v>16</v>
      </c>
      <c r="V313" s="29">
        <v>16</v>
      </c>
      <c r="W313" s="30">
        <f ca="1">Sprache!$A$131</f>
        <v>0</v>
      </c>
      <c r="X313" s="30">
        <f ca="1">Sprache!$A$126</f>
        <v>0</v>
      </c>
      <c r="Y313" s="30" t="str">
        <f ca="1">Sprache!$A$69</f>
        <v>Front</v>
      </c>
      <c r="Z313" s="30">
        <v>500</v>
      </c>
      <c r="AA313" s="28">
        <v>549</v>
      </c>
      <c r="AB313" s="30"/>
      <c r="AC313" s="31">
        <v>1.3</v>
      </c>
      <c r="AD313" s="53">
        <v>3.9</v>
      </c>
      <c r="AE313" s="30" t="s">
        <v>812</v>
      </c>
      <c r="AF313" s="30" t="str">
        <f ca="1">Sprache!$A$101</f>
        <v>Zestaw (prawy+lewy)</v>
      </c>
      <c r="AG313" s="30" t="s">
        <v>26</v>
      </c>
      <c r="AH313" s="30" t="str">
        <f ca="1">Sprache!$A$121</f>
        <v>Sprężyna czarna dwustronnie</v>
      </c>
      <c r="AI313" s="30" t="s">
        <v>26</v>
      </c>
      <c r="AJ313" s="30" t="s">
        <v>26</v>
      </c>
      <c r="AK313" s="30">
        <f>'Material+Limits'!$K$9</f>
        <v>200</v>
      </c>
      <c r="AL313" s="28">
        <v>1200</v>
      </c>
      <c r="AM313" s="30"/>
      <c r="AN313" s="28"/>
      <c r="AO313"/>
      <c r="AR313"/>
      <c r="AS313"/>
      <c r="AT313"/>
      <c r="AU313"/>
      <c r="AV313"/>
    </row>
    <row r="314" spans="1:48" x14ac:dyDescent="0.25">
      <c r="A314" t="str">
        <f t="shared" ca="1" si="9"/>
        <v/>
      </c>
      <c r="B314" t="str">
        <f t="shared" ca="1" si="8"/>
        <v/>
      </c>
      <c r="C314" s="79">
        <f>IF('Material+Limits'!$P$6=TRUE,1,0)</f>
        <v>0</v>
      </c>
      <c r="D314" s="39">
        <f>IF(Daten!$O314+Daten!$P314+Daten!$R314=3,1,0)</f>
        <v>0</v>
      </c>
      <c r="E314" s="184">
        <f ca="1">IF(AND('Material+Limits'!$Q$21=TRUE,Daten!N314=1)=TRUE,1,0)</f>
        <v>0</v>
      </c>
      <c r="F314" s="185">
        <f>IF(AND('Material+Limits'!$Q$25=TRUE,Daten!M314=1)=TRUE,1,0)</f>
        <v>0</v>
      </c>
      <c r="G314" s="185">
        <f>IF(AND('Material+Limits'!$Q$24=TRUE,Daten!L314=1)=TRUE,1,0)</f>
        <v>0</v>
      </c>
      <c r="H314" s="185">
        <f>IF(AND('Material+Limits'!$Q$23=TRUE,Daten!K314=1)=TRUE,1,0)</f>
        <v>0</v>
      </c>
      <c r="I314" s="185">
        <f>IF(AND('Material+Limits'!$Q$22=TRUE,Daten!J314=1)=TRUE,1,0)</f>
        <v>0</v>
      </c>
      <c r="J314" s="158">
        <f>IF(Daten!$U314=13,1,0)</f>
        <v>0</v>
      </c>
      <c r="K314" s="159">
        <f>IF(Daten!$U314&lt;&gt;Daten!$V314,1,IF(Daten!$U314=14,1,0))</f>
        <v>0</v>
      </c>
      <c r="L314" s="159">
        <f>IF(Daten!$U314&lt;&gt;Daten!$V314,1,IF(Daten!$U314=16,1,0))</f>
        <v>0</v>
      </c>
      <c r="M314" s="159">
        <f>IF(Daten!$V314=17,1,0)</f>
        <v>1</v>
      </c>
      <c r="N314" s="160">
        <f ca="1">IF(Daten!$W314=Sprache!$A$60,1,0)</f>
        <v>0</v>
      </c>
      <c r="O314" s="171">
        <f>IF(AND(Daten!$AK314&lt;=KINVARO!$AW$3,Daten!$AL314&gt;=KINVARO!$AW$3)=TRUE,1,0)</f>
        <v>1</v>
      </c>
      <c r="P314" s="172">
        <f>IF(AND(Daten!$Z314&lt;=KINVARO!$AW$4,Daten!$AA314&gt;=KINVARO!$AW$4)=TRUE,1,0)</f>
        <v>0</v>
      </c>
      <c r="Q314" s="172"/>
      <c r="R314" s="172">
        <f>IF(AND(Daten!$AC314&lt;='Material+Limits'!$I$58,Daten!$AD314&gt;='Material+Limits'!$I$58)=TRUE,1,0)</f>
        <v>0</v>
      </c>
      <c r="S314" s="23">
        <f ca="1">IF(Daten!$X314=Sprache!$A$125,1,0)</f>
        <v>1</v>
      </c>
      <c r="T314" s="24" t="str">
        <f ca="1">Sprache!$A$58</f>
        <v>Podnośnik T-65</v>
      </c>
      <c r="U314" s="27">
        <v>17</v>
      </c>
      <c r="V314" s="23">
        <v>17</v>
      </c>
      <c r="W314" s="25">
        <f ca="1">Sprache!$A$131</f>
        <v>0</v>
      </c>
      <c r="X314" s="25">
        <f ca="1">Sprache!$A$126</f>
        <v>0</v>
      </c>
      <c r="Y314" s="25" t="str">
        <f ca="1">Sprache!$A$69</f>
        <v>Front</v>
      </c>
      <c r="Z314" s="25">
        <v>500</v>
      </c>
      <c r="AA314" s="24">
        <v>549</v>
      </c>
      <c r="AB314" s="25"/>
      <c r="AC314" s="26">
        <v>0.6</v>
      </c>
      <c r="AD314" s="54">
        <v>2</v>
      </c>
      <c r="AE314" s="25" t="s">
        <v>813</v>
      </c>
      <c r="AF314" s="25" t="str">
        <f ca="1">Sprache!$A$101</f>
        <v>Zestaw (prawy+lewy)</v>
      </c>
      <c r="AG314" s="25" t="s">
        <v>26</v>
      </c>
      <c r="AH314" s="25" t="str">
        <f ca="1">Sprache!$A$120</f>
        <v>Sprężyna żółta dwustronnie</v>
      </c>
      <c r="AI314" s="25" t="s">
        <v>26</v>
      </c>
      <c r="AJ314" s="25" t="s">
        <v>26</v>
      </c>
      <c r="AK314" s="25">
        <f>'Material+Limits'!$K$9</f>
        <v>200</v>
      </c>
      <c r="AL314" s="24">
        <v>1200</v>
      </c>
      <c r="AM314" s="30"/>
      <c r="AN314" s="24"/>
      <c r="AO314"/>
      <c r="AR314"/>
      <c r="AS314"/>
      <c r="AT314"/>
      <c r="AU314"/>
      <c r="AV314"/>
    </row>
    <row r="315" spans="1:48" s="5" customFormat="1" x14ac:dyDescent="0.25">
      <c r="A315" t="str">
        <f t="shared" ca="1" si="9"/>
        <v/>
      </c>
      <c r="B315" t="str">
        <f t="shared" ca="1" si="8"/>
        <v/>
      </c>
      <c r="C315" s="79">
        <f>IF('Material+Limits'!$P$6=TRUE,1,0)</f>
        <v>0</v>
      </c>
      <c r="D315" s="39">
        <f>IF(Daten!$O315+Daten!$P315+Daten!$R315=3,1,0)</f>
        <v>0</v>
      </c>
      <c r="E315" s="184">
        <f ca="1">IF(AND('Material+Limits'!$Q$21=TRUE,Daten!N315=1)=TRUE,1,0)</f>
        <v>0</v>
      </c>
      <c r="F315" s="185">
        <f>IF(AND('Material+Limits'!$Q$25=TRUE,Daten!M315=1)=TRUE,1,0)</f>
        <v>0</v>
      </c>
      <c r="G315" s="185">
        <f>IF(AND('Material+Limits'!$Q$24=TRUE,Daten!L315=1)=TRUE,1,0)</f>
        <v>0</v>
      </c>
      <c r="H315" s="185">
        <f>IF(AND('Material+Limits'!$Q$23=TRUE,Daten!K315=1)=TRUE,1,0)</f>
        <v>0</v>
      </c>
      <c r="I315" s="185">
        <f>IF(AND('Material+Limits'!$Q$22=TRUE,Daten!J315=1)=TRUE,1,0)</f>
        <v>0</v>
      </c>
      <c r="J315" s="155">
        <f>IF(Daten!$U315=13,1,0)</f>
        <v>0</v>
      </c>
      <c r="K315" s="156">
        <f>IF(Daten!$U315&lt;&gt;Daten!$V315,1,IF(Daten!$U315=14,1,0))</f>
        <v>0</v>
      </c>
      <c r="L315" s="156">
        <f>IF(Daten!$U315&lt;&gt;Daten!$V315,1,IF(Daten!$U315=16,1,0))</f>
        <v>0</v>
      </c>
      <c r="M315" s="156">
        <f>IF(Daten!$V315=17,1,0)</f>
        <v>1</v>
      </c>
      <c r="N315" s="157">
        <f ca="1">IF(Daten!$W315=Sprache!$A$60,1,0)</f>
        <v>0</v>
      </c>
      <c r="O315" s="169">
        <f>IF(AND(Daten!$AK315&lt;=KINVARO!$AW$3,Daten!$AL315&gt;=KINVARO!$AW$3)=TRUE,1,0)</f>
        <v>1</v>
      </c>
      <c r="P315" s="170">
        <f>IF(AND(Daten!$Z315&lt;=KINVARO!$AW$4,Daten!$AA315&gt;=KINVARO!$AW$4)=TRUE,1,0)</f>
        <v>0</v>
      </c>
      <c r="Q315" s="170"/>
      <c r="R315" s="170">
        <f>IF(AND(Daten!$AC315&lt;='Material+Limits'!$I$58,Daten!$AD315&gt;='Material+Limits'!$I$58)=TRUE,1,0)</f>
        <v>0</v>
      </c>
      <c r="S315" s="29">
        <f ca="1">IF(Daten!$X315=Sprache!$A$125,1,0)</f>
        <v>1</v>
      </c>
      <c r="T315" s="28" t="str">
        <f ca="1">Sprache!$A$58</f>
        <v>Podnośnik T-65</v>
      </c>
      <c r="U315" s="32">
        <v>17</v>
      </c>
      <c r="V315" s="29">
        <v>17</v>
      </c>
      <c r="W315" s="30">
        <f ca="1">Sprache!$A$131</f>
        <v>0</v>
      </c>
      <c r="X315" s="30">
        <f ca="1">Sprache!$A$126</f>
        <v>0</v>
      </c>
      <c r="Y315" s="30" t="str">
        <f ca="1">Sprache!$A$69</f>
        <v>Front</v>
      </c>
      <c r="Z315" s="30">
        <v>500</v>
      </c>
      <c r="AA315" s="28">
        <v>549</v>
      </c>
      <c r="AB315" s="30"/>
      <c r="AC315" s="31">
        <v>1.3</v>
      </c>
      <c r="AD315" s="53">
        <v>3.9</v>
      </c>
      <c r="AE315" s="30" t="s">
        <v>813</v>
      </c>
      <c r="AF315" s="30" t="str">
        <f ca="1">Sprache!$A$101</f>
        <v>Zestaw (prawy+lewy)</v>
      </c>
      <c r="AG315" s="30" t="s">
        <v>26</v>
      </c>
      <c r="AH315" s="30" t="str">
        <f ca="1">Sprache!$A$121</f>
        <v>Sprężyna czarna dwustronnie</v>
      </c>
      <c r="AI315" s="30" t="s">
        <v>26</v>
      </c>
      <c r="AJ315" s="30" t="s">
        <v>26</v>
      </c>
      <c r="AK315" s="30">
        <f>'Material+Limits'!$K$9</f>
        <v>200</v>
      </c>
      <c r="AL315" s="28">
        <v>1200</v>
      </c>
      <c r="AM315" s="30"/>
      <c r="AN315" s="28"/>
    </row>
    <row r="316" spans="1:48" x14ac:dyDescent="0.25">
      <c r="A316" t="str">
        <f t="shared" ca="1" si="9"/>
        <v/>
      </c>
      <c r="B316" t="str">
        <f t="shared" ca="1" si="8"/>
        <v/>
      </c>
      <c r="C316" s="79">
        <f>IF('Material+Limits'!$P$6=TRUE,1,0)</f>
        <v>0</v>
      </c>
      <c r="D316" s="39">
        <f>IF(Daten!$O316+Daten!$P316+Daten!$R316=3,1,0)</f>
        <v>0</v>
      </c>
      <c r="E316" s="184">
        <f ca="1">IF(AND('Material+Limits'!$Q$21=TRUE,Daten!N316=1)=TRUE,1,0)</f>
        <v>1</v>
      </c>
      <c r="F316" s="185">
        <f ca="1">IF(AND('Material+Limits'!$Q$25=TRUE,Daten!M316=1)=TRUE,1,0)</f>
        <v>0</v>
      </c>
      <c r="G316" s="185">
        <f ca="1">IF(AND('Material+Limits'!$Q$24=TRUE,Daten!L316=1)=TRUE,1,0)</f>
        <v>0</v>
      </c>
      <c r="H316" s="185">
        <f ca="1">IF(AND('Material+Limits'!$Q$23=TRUE,Daten!K316=1)=TRUE,1,0)</f>
        <v>0</v>
      </c>
      <c r="I316" s="185">
        <f ca="1">IF(AND('Material+Limits'!$Q$22=TRUE,Daten!J316=1)=TRUE,1,0)</f>
        <v>0</v>
      </c>
      <c r="J316" s="158">
        <f ca="1">IF(Daten!$U316=13,1,0)</f>
        <v>0</v>
      </c>
      <c r="K316" s="159">
        <f ca="1">IF(Daten!$U316&lt;&gt;Daten!$V316,1,IF(Daten!$U316=14,1,0))</f>
        <v>0</v>
      </c>
      <c r="L316" s="159">
        <f ca="1">IF(Daten!$U316&lt;&gt;Daten!$V316,1,IF(Daten!$U316=16,1,0))</f>
        <v>0</v>
      </c>
      <c r="M316" s="159">
        <f ca="1">IF(Daten!$V316=17,1,0)</f>
        <v>0</v>
      </c>
      <c r="N316" s="160">
        <f ca="1">IF(Daten!$W316=Sprache!$A$60,1,0)</f>
        <v>1</v>
      </c>
      <c r="O316" s="173">
        <f>IF(AND(Daten!$AK316&lt;=KINVARO!$AW$3,Daten!$AL316&gt;=KINVARO!$AW$3)=TRUE,1,0)</f>
        <v>1</v>
      </c>
      <c r="P316" s="174">
        <f>IF(AND(Daten!$Z316&lt;=KINVARO!$AW$4,Daten!$AA316&gt;=KINVARO!$AW$4)=TRUE,1,0)</f>
        <v>1</v>
      </c>
      <c r="Q316" s="174"/>
      <c r="R316" s="174">
        <f>IF(AND(Daten!$AC316&lt;='Material+Limits'!$I$58,Daten!$AD316&gt;='Material+Limits'!$I$58)=TRUE,1,0)</f>
        <v>0</v>
      </c>
      <c r="S316" s="38">
        <f ca="1">IF(Daten!$X316=Sprache!$A$125,1,0)</f>
        <v>1</v>
      </c>
      <c r="T316" s="57" t="str">
        <f ca="1">Sprache!$A$58</f>
        <v>Podnośnik T-65</v>
      </c>
      <c r="U316" s="55">
        <f ca="1">Sprache!$A$64</f>
        <v>0</v>
      </c>
      <c r="V316" s="38">
        <f ca="1">Sprache!$A$64</f>
        <v>0</v>
      </c>
      <c r="W316" s="56" t="str">
        <f ca="1">Sprache!$A$60</f>
        <v>Front lity (drewno/płyta)</v>
      </c>
      <c r="X316" s="25">
        <f ca="1">Sprache!$A$126</f>
        <v>0</v>
      </c>
      <c r="Y316" s="56" t="str">
        <f ca="1">Sprache!$A$69</f>
        <v>Front</v>
      </c>
      <c r="Z316" s="56">
        <v>550</v>
      </c>
      <c r="AA316" s="57">
        <v>599</v>
      </c>
      <c r="AB316" s="56"/>
      <c r="AC316" s="58">
        <v>1.3</v>
      </c>
      <c r="AD316" s="59">
        <v>3.4</v>
      </c>
      <c r="AE316" s="56" t="s">
        <v>809</v>
      </c>
      <c r="AF316" s="56" t="str">
        <f ca="1">Sprache!$A$101</f>
        <v>Zestaw (prawy+lewy)</v>
      </c>
      <c r="AG316" s="56" t="s">
        <v>26</v>
      </c>
      <c r="AH316" s="56" t="str">
        <f ca="1">Sprache!$A$121</f>
        <v>Sprężyna czarna dwustronnie</v>
      </c>
      <c r="AI316" s="25" t="s">
        <v>26</v>
      </c>
      <c r="AJ316" s="25" t="s">
        <v>26</v>
      </c>
      <c r="AK316" s="56">
        <f>'Material+Limits'!$K$9</f>
        <v>200</v>
      </c>
      <c r="AL316" s="57">
        <v>1200</v>
      </c>
      <c r="AM316" s="30"/>
      <c r="AN316" s="24"/>
      <c r="AO316"/>
      <c r="AR316"/>
      <c r="AS316"/>
      <c r="AT316"/>
      <c r="AU316"/>
      <c r="AV316"/>
    </row>
    <row r="317" spans="1:48" x14ac:dyDescent="0.25">
      <c r="A317" t="str">
        <f t="shared" ca="1" si="9"/>
        <v/>
      </c>
      <c r="B317" t="str">
        <f t="shared" ca="1" si="8"/>
        <v/>
      </c>
      <c r="C317" s="79">
        <f>IF('Material+Limits'!$P$6=TRUE,1,0)</f>
        <v>0</v>
      </c>
      <c r="D317" s="39">
        <f>IF(Daten!$O317+Daten!$P317+Daten!$R317=3,1,0)</f>
        <v>0</v>
      </c>
      <c r="E317" s="184">
        <f ca="1">IF(AND('Material+Limits'!$Q$21=TRUE,Daten!N317=1)=TRUE,1,0)</f>
        <v>0</v>
      </c>
      <c r="F317" s="185">
        <f>IF(AND('Material+Limits'!$Q$25=TRUE,Daten!M317=1)=TRUE,1,0)</f>
        <v>0</v>
      </c>
      <c r="G317" s="185">
        <f>IF(AND('Material+Limits'!$Q$24=TRUE,Daten!L317=1)=TRUE,1,0)</f>
        <v>0</v>
      </c>
      <c r="H317" s="185">
        <f>IF(AND('Material+Limits'!$Q$23=TRUE,Daten!K317=1)=TRUE,1,0)</f>
        <v>0</v>
      </c>
      <c r="I317" s="185">
        <f>IF(AND('Material+Limits'!$Q$22=TRUE,Daten!J317=1)=TRUE,1,0)</f>
        <v>0</v>
      </c>
      <c r="J317" s="155">
        <f>IF(Daten!$U317=13,1,0)</f>
        <v>1</v>
      </c>
      <c r="K317" s="156">
        <f>IF(Daten!$U317&lt;&gt;Daten!$V317,1,IF(Daten!$U317=14,1,0))</f>
        <v>0</v>
      </c>
      <c r="L317" s="156">
        <f>IF(Daten!$U317&lt;&gt;Daten!$V317,1,IF(Daten!$U317=16,1,0))</f>
        <v>0</v>
      </c>
      <c r="M317" s="156">
        <f>IF(Daten!$V317=17,1,0)</f>
        <v>0</v>
      </c>
      <c r="N317" s="157">
        <f ca="1">IF(Daten!$W317=Sprache!$A$60,1,0)</f>
        <v>0</v>
      </c>
      <c r="O317" s="169">
        <f>IF(AND(Daten!$AK317&lt;=KINVARO!$AW$3,Daten!$AL317&gt;=KINVARO!$AW$3)=TRUE,1,0)</f>
        <v>1</v>
      </c>
      <c r="P317" s="170">
        <f>IF(AND(Daten!$Z317&lt;=KINVARO!$AW$4,Daten!$AA317&gt;=KINVARO!$AW$4)=TRUE,1,0)</f>
        <v>1</v>
      </c>
      <c r="R317" s="170">
        <f>IF(AND(Daten!$AC317&lt;='Material+Limits'!$I$58,Daten!$AD317&gt;='Material+Limits'!$I$58)=TRUE,1,0)</f>
        <v>0</v>
      </c>
      <c r="S317" s="29">
        <f ca="1">IF(Daten!$X317=Sprache!$A$125,1,0)</f>
        <v>1</v>
      </c>
      <c r="T317" s="28" t="str">
        <f ca="1">Sprache!$A$58</f>
        <v>Podnośnik T-65</v>
      </c>
      <c r="U317" s="32">
        <v>13</v>
      </c>
      <c r="V317" s="29">
        <v>13</v>
      </c>
      <c r="W317" s="30">
        <f ca="1">Sprache!$A$131</f>
        <v>0</v>
      </c>
      <c r="X317" s="30">
        <f ca="1">Sprache!$A$126</f>
        <v>0</v>
      </c>
      <c r="Y317" s="30" t="str">
        <f ca="1">Sprache!$A$69</f>
        <v>Front</v>
      </c>
      <c r="Z317" s="30">
        <v>550</v>
      </c>
      <c r="AA317" s="28">
        <v>599</v>
      </c>
      <c r="AB317" s="30"/>
      <c r="AC317" s="31">
        <v>1.3</v>
      </c>
      <c r="AD317" s="53">
        <v>3.4</v>
      </c>
      <c r="AE317" s="30" t="s">
        <v>810</v>
      </c>
      <c r="AF317" s="30" t="str">
        <f ca="1">Sprache!$A$101</f>
        <v>Zestaw (prawy+lewy)</v>
      </c>
      <c r="AG317" s="30" t="s">
        <v>26</v>
      </c>
      <c r="AH317" s="30" t="str">
        <f ca="1">Sprache!$A$121</f>
        <v>Sprężyna czarna dwustronnie</v>
      </c>
      <c r="AI317" s="30" t="s">
        <v>26</v>
      </c>
      <c r="AJ317" s="30" t="s">
        <v>26</v>
      </c>
      <c r="AK317" s="30">
        <f>'Material+Limits'!$K$9</f>
        <v>200</v>
      </c>
      <c r="AL317" s="28">
        <v>1200</v>
      </c>
      <c r="AM317" s="30"/>
      <c r="AN317" s="28"/>
      <c r="AO317"/>
      <c r="AR317"/>
      <c r="AS317"/>
      <c r="AT317"/>
      <c r="AU317"/>
      <c r="AV317"/>
    </row>
    <row r="318" spans="1:48" x14ac:dyDescent="0.25">
      <c r="A318" t="str">
        <f t="shared" ca="1" si="9"/>
        <v/>
      </c>
      <c r="B318" t="str">
        <f t="shared" ca="1" si="8"/>
        <v/>
      </c>
      <c r="C318" s="79">
        <f>IF('Material+Limits'!$P$6=TRUE,1,0)</f>
        <v>0</v>
      </c>
      <c r="D318" s="39">
        <f>IF(Daten!$O318+Daten!$P318+Daten!$R318=3,1,0)</f>
        <v>0</v>
      </c>
      <c r="E318" s="184">
        <f ca="1">IF(AND('Material+Limits'!$Q$21=TRUE,Daten!N318=1)=TRUE,1,0)</f>
        <v>0</v>
      </c>
      <c r="F318" s="185">
        <f>IF(AND('Material+Limits'!$Q$25=TRUE,Daten!M318=1)=TRUE,1,0)</f>
        <v>0</v>
      </c>
      <c r="G318" s="185">
        <f>IF(AND('Material+Limits'!$Q$24=TRUE,Daten!L318=1)=TRUE,1,0)</f>
        <v>0</v>
      </c>
      <c r="H318" s="185">
        <f>IF(AND('Material+Limits'!$Q$23=TRUE,Daten!K318=1)=TRUE,1,0)</f>
        <v>0</v>
      </c>
      <c r="I318" s="185">
        <f>IF(AND('Material+Limits'!$Q$22=TRUE,Daten!J318=1)=TRUE,1,0)</f>
        <v>0</v>
      </c>
      <c r="J318" s="158">
        <f>IF(Daten!$U318=13,1,0)</f>
        <v>0</v>
      </c>
      <c r="K318" s="159">
        <f>IF(Daten!$U318&lt;&gt;Daten!$V318,1,IF(Daten!$U318=14,1,0))</f>
        <v>1</v>
      </c>
      <c r="L318" s="159">
        <f>IF(Daten!$U318&lt;&gt;Daten!$V318,1,IF(Daten!$U318=16,1,0))</f>
        <v>0</v>
      </c>
      <c r="M318" s="159">
        <f>IF(Daten!$V318=17,1,0)</f>
        <v>0</v>
      </c>
      <c r="N318" s="160">
        <f ca="1">IF(Daten!$W318=Sprache!$A$60,1,0)</f>
        <v>0</v>
      </c>
      <c r="O318" s="171">
        <f>IF(AND(Daten!$AK318&lt;=KINVARO!$AW$3,Daten!$AL318&gt;=KINVARO!$AW$3)=TRUE,1,0)</f>
        <v>1</v>
      </c>
      <c r="P318" s="172">
        <f>IF(AND(Daten!$Z318&lt;=KINVARO!$AW$4,Daten!$AA318&gt;=KINVARO!$AW$4)=TRUE,1,0)</f>
        <v>1</v>
      </c>
      <c r="Q318" s="172"/>
      <c r="R318" s="172">
        <f>IF(AND(Daten!$AC318&lt;='Material+Limits'!$I$58,Daten!$AD318&gt;='Material+Limits'!$I$58)=TRUE,1,0)</f>
        <v>0</v>
      </c>
      <c r="S318" s="23">
        <f ca="1">IF(Daten!$X318=Sprache!$A$125,1,0)</f>
        <v>1</v>
      </c>
      <c r="T318" s="24" t="str">
        <f ca="1">Sprache!$A$58</f>
        <v>Podnośnik T-65</v>
      </c>
      <c r="U318" s="27">
        <v>14</v>
      </c>
      <c r="V318" s="23">
        <v>14</v>
      </c>
      <c r="W318" s="25">
        <f ca="1">Sprache!$A$131</f>
        <v>0</v>
      </c>
      <c r="X318" s="25">
        <f ca="1">Sprache!$A$126</f>
        <v>0</v>
      </c>
      <c r="Y318" s="25" t="str">
        <f ca="1">Sprache!$A$69</f>
        <v>Front</v>
      </c>
      <c r="Z318" s="25">
        <v>550</v>
      </c>
      <c r="AA318" s="24">
        <v>599</v>
      </c>
      <c r="AB318" s="25"/>
      <c r="AC318" s="26">
        <v>1.3</v>
      </c>
      <c r="AD318" s="54">
        <v>3.4</v>
      </c>
      <c r="AE318" s="25" t="s">
        <v>811</v>
      </c>
      <c r="AF318" s="25" t="str">
        <f ca="1">Sprache!$A$101</f>
        <v>Zestaw (prawy+lewy)</v>
      </c>
      <c r="AG318" s="25" t="s">
        <v>26</v>
      </c>
      <c r="AH318" s="25" t="str">
        <f ca="1">Sprache!$A$121</f>
        <v>Sprężyna czarna dwustronnie</v>
      </c>
      <c r="AI318" s="25" t="s">
        <v>26</v>
      </c>
      <c r="AJ318" s="25" t="s">
        <v>26</v>
      </c>
      <c r="AK318" s="25">
        <f>'Material+Limits'!$K$9</f>
        <v>200</v>
      </c>
      <c r="AL318" s="24">
        <v>1200</v>
      </c>
      <c r="AM318" s="30"/>
      <c r="AN318" s="24"/>
      <c r="AO318"/>
      <c r="AR318"/>
      <c r="AS318"/>
      <c r="AT318"/>
      <c r="AU318"/>
      <c r="AV318"/>
    </row>
    <row r="319" spans="1:48" x14ac:dyDescent="0.25">
      <c r="A319" t="str">
        <f t="shared" ca="1" si="9"/>
        <v/>
      </c>
      <c r="B319" t="str">
        <f t="shared" ca="1" si="8"/>
        <v/>
      </c>
      <c r="C319" s="79">
        <f>IF('Material+Limits'!$P$6=TRUE,1,0)</f>
        <v>0</v>
      </c>
      <c r="D319" s="39">
        <f>IF(Daten!$O319+Daten!$P319+Daten!$R319=3,1,0)</f>
        <v>0</v>
      </c>
      <c r="E319" s="184">
        <f ca="1">IF(AND('Material+Limits'!$Q$21=TRUE,Daten!N319=1)=TRUE,1,0)</f>
        <v>0</v>
      </c>
      <c r="F319" s="185">
        <f>IF(AND('Material+Limits'!$Q$25=TRUE,Daten!M319=1)=TRUE,1,0)</f>
        <v>0</v>
      </c>
      <c r="G319" s="185">
        <f>IF(AND('Material+Limits'!$Q$24=TRUE,Daten!L319=1)=TRUE,1,0)</f>
        <v>0</v>
      </c>
      <c r="H319" s="185">
        <f>IF(AND('Material+Limits'!$Q$23=TRUE,Daten!K319=1)=TRUE,1,0)</f>
        <v>0</v>
      </c>
      <c r="I319" s="185">
        <f>IF(AND('Material+Limits'!$Q$22=TRUE,Daten!J319=1)=TRUE,1,0)</f>
        <v>0</v>
      </c>
      <c r="J319" s="155">
        <f>IF(Daten!$U319=13,1,0)</f>
        <v>0</v>
      </c>
      <c r="K319" s="156">
        <f>IF(Daten!$U319&lt;&gt;Daten!$V319,1,IF(Daten!$U319=14,1,0))</f>
        <v>0</v>
      </c>
      <c r="L319" s="156">
        <f>IF(Daten!$U319&lt;&gt;Daten!$V319,1,IF(Daten!$U319=16,1,0))</f>
        <v>1</v>
      </c>
      <c r="M319" s="156">
        <f>IF(Daten!$V319=17,1,0)</f>
        <v>0</v>
      </c>
      <c r="N319" s="157">
        <f ca="1">IF(Daten!$W319=Sprache!$A$60,1,0)</f>
        <v>0</v>
      </c>
      <c r="O319" s="169">
        <f>IF(AND(Daten!$AK319&lt;=KINVARO!$AW$3,Daten!$AL319&gt;=KINVARO!$AW$3)=TRUE,1,0)</f>
        <v>1</v>
      </c>
      <c r="P319" s="170">
        <f>IF(AND(Daten!$Z319&lt;=KINVARO!$AW$4,Daten!$AA319&gt;=KINVARO!$AW$4)=TRUE,1,0)</f>
        <v>1</v>
      </c>
      <c r="R319" s="170">
        <f>IF(AND(Daten!$AC319&lt;='Material+Limits'!$I$58,Daten!$AD319&gt;='Material+Limits'!$I$58)=TRUE,1,0)</f>
        <v>0</v>
      </c>
      <c r="S319" s="29">
        <f ca="1">IF(Daten!$X319=Sprache!$A$125,1,0)</f>
        <v>1</v>
      </c>
      <c r="T319" s="28" t="str">
        <f ca="1">Sprache!$A$58</f>
        <v>Podnośnik T-65</v>
      </c>
      <c r="U319" s="32">
        <v>16</v>
      </c>
      <c r="V319" s="29">
        <v>16</v>
      </c>
      <c r="W319" s="30">
        <f ca="1">Sprache!$A$131</f>
        <v>0</v>
      </c>
      <c r="X319" s="30">
        <f ca="1">Sprache!$A$126</f>
        <v>0</v>
      </c>
      <c r="Y319" s="30" t="str">
        <f ca="1">Sprache!$A$69</f>
        <v>Front</v>
      </c>
      <c r="Z319" s="30">
        <v>550</v>
      </c>
      <c r="AA319" s="28">
        <v>599</v>
      </c>
      <c r="AB319" s="30"/>
      <c r="AC319" s="31">
        <v>1.3</v>
      </c>
      <c r="AD319" s="53">
        <v>3.4</v>
      </c>
      <c r="AE319" s="30" t="s">
        <v>812</v>
      </c>
      <c r="AF319" s="30" t="str">
        <f ca="1">Sprache!$A$101</f>
        <v>Zestaw (prawy+lewy)</v>
      </c>
      <c r="AG319" s="30" t="s">
        <v>26</v>
      </c>
      <c r="AH319" s="30" t="str">
        <f ca="1">Sprache!$A$121</f>
        <v>Sprężyna czarna dwustronnie</v>
      </c>
      <c r="AI319" s="30" t="s">
        <v>26</v>
      </c>
      <c r="AJ319" s="30" t="s">
        <v>26</v>
      </c>
      <c r="AK319" s="30">
        <f>'Material+Limits'!$K$9</f>
        <v>200</v>
      </c>
      <c r="AL319" s="28">
        <v>1200</v>
      </c>
      <c r="AM319" s="30"/>
      <c r="AN319" s="28"/>
      <c r="AO319"/>
      <c r="AR319"/>
      <c r="AS319"/>
      <c r="AT319"/>
      <c r="AU319"/>
      <c r="AV319"/>
    </row>
    <row r="320" spans="1:48" s="5" customFormat="1" x14ac:dyDescent="0.25">
      <c r="A320" t="str">
        <f t="shared" ca="1" si="9"/>
        <v/>
      </c>
      <c r="B320" t="str">
        <f t="shared" ca="1" si="8"/>
        <v/>
      </c>
      <c r="C320" s="79">
        <f>IF('Material+Limits'!$P$6=TRUE,1,0)</f>
        <v>0</v>
      </c>
      <c r="D320" s="39">
        <f>IF(Daten!$O320+Daten!$P320+Daten!$R320=3,1,0)</f>
        <v>0</v>
      </c>
      <c r="E320" s="184">
        <f ca="1">IF(AND('Material+Limits'!$Q$21=TRUE,Daten!N320=1)=TRUE,1,0)</f>
        <v>0</v>
      </c>
      <c r="F320" s="185">
        <f>IF(AND('Material+Limits'!$Q$25=TRUE,Daten!M320=1)=TRUE,1,0)</f>
        <v>0</v>
      </c>
      <c r="G320" s="185">
        <f>IF(AND('Material+Limits'!$Q$24=TRUE,Daten!L320=1)=TRUE,1,0)</f>
        <v>0</v>
      </c>
      <c r="H320" s="185">
        <f>IF(AND('Material+Limits'!$Q$23=TRUE,Daten!K320=1)=TRUE,1,0)</f>
        <v>0</v>
      </c>
      <c r="I320" s="185">
        <f>IF(AND('Material+Limits'!$Q$22=TRUE,Daten!J320=1)=TRUE,1,0)</f>
        <v>0</v>
      </c>
      <c r="J320" s="158">
        <f>IF(Daten!$U320=13,1,0)</f>
        <v>0</v>
      </c>
      <c r="K320" s="159">
        <f>IF(Daten!$U320&lt;&gt;Daten!$V320,1,IF(Daten!$U320=14,1,0))</f>
        <v>0</v>
      </c>
      <c r="L320" s="159">
        <f>IF(Daten!$U320&lt;&gt;Daten!$V320,1,IF(Daten!$U320=16,1,0))</f>
        <v>0</v>
      </c>
      <c r="M320" s="159">
        <f>IF(Daten!$V320=17,1,0)</f>
        <v>1</v>
      </c>
      <c r="N320" s="160">
        <f ca="1">IF(Daten!$W320=Sprache!$A$60,1,0)</f>
        <v>0</v>
      </c>
      <c r="O320" s="171">
        <f>IF(AND(Daten!$AK320&lt;=KINVARO!$AW$3,Daten!$AL320&gt;=KINVARO!$AW$3)=TRUE,1,0)</f>
        <v>1</v>
      </c>
      <c r="P320" s="172">
        <f>IF(AND(Daten!$Z320&lt;=KINVARO!$AW$4,Daten!$AA320&gt;=KINVARO!$AW$4)=TRUE,1,0)</f>
        <v>1</v>
      </c>
      <c r="Q320" s="172"/>
      <c r="R320" s="172">
        <f>IF(AND(Daten!$AC320&lt;='Material+Limits'!$I$58,Daten!$AD320&gt;='Material+Limits'!$I$58)=TRUE,1,0)</f>
        <v>0</v>
      </c>
      <c r="S320" s="23">
        <f ca="1">IF(Daten!$X320=Sprache!$A$125,1,0)</f>
        <v>1</v>
      </c>
      <c r="T320" s="24" t="str">
        <f ca="1">Sprache!$A$58</f>
        <v>Podnośnik T-65</v>
      </c>
      <c r="U320" s="27">
        <v>17</v>
      </c>
      <c r="V320" s="23">
        <v>17</v>
      </c>
      <c r="W320" s="25">
        <f ca="1">Sprache!$A$131</f>
        <v>0</v>
      </c>
      <c r="X320" s="25">
        <f ca="1">Sprache!$A$126</f>
        <v>0</v>
      </c>
      <c r="Y320" s="25" t="str">
        <f ca="1">Sprache!$A$69</f>
        <v>Front</v>
      </c>
      <c r="Z320" s="25">
        <v>550</v>
      </c>
      <c r="AA320" s="24">
        <v>599</v>
      </c>
      <c r="AB320" s="25"/>
      <c r="AC320" s="26">
        <v>1.3</v>
      </c>
      <c r="AD320" s="54">
        <v>3.4</v>
      </c>
      <c r="AE320" s="25" t="s">
        <v>813</v>
      </c>
      <c r="AF320" s="25" t="str">
        <f ca="1">Sprache!$A$101</f>
        <v>Zestaw (prawy+lewy)</v>
      </c>
      <c r="AG320" s="25" t="s">
        <v>26</v>
      </c>
      <c r="AH320" s="25" t="str">
        <f ca="1">Sprache!$A$121</f>
        <v>Sprężyna czarna dwustronnie</v>
      </c>
      <c r="AI320" s="25" t="s">
        <v>26</v>
      </c>
      <c r="AJ320" s="25" t="s">
        <v>26</v>
      </c>
      <c r="AK320" s="25">
        <f>'Material+Limits'!$K$9</f>
        <v>200</v>
      </c>
      <c r="AL320" s="24">
        <v>1200</v>
      </c>
      <c r="AM320" s="30"/>
      <c r="AN320" s="24"/>
    </row>
    <row r="321" spans="1:48" x14ac:dyDescent="0.25">
      <c r="A321" t="str">
        <f t="shared" ca="1" si="9"/>
        <v/>
      </c>
      <c r="B321" t="str">
        <f t="shared" ca="1" si="8"/>
        <v/>
      </c>
      <c r="C321" s="79">
        <f>IF('Material+Limits'!$P$6=TRUE,1,0)</f>
        <v>0</v>
      </c>
      <c r="D321" s="39">
        <f>IF(Daten!$O321+Daten!$P321+Daten!$R321=3,1,0)</f>
        <v>0</v>
      </c>
      <c r="E321" s="184">
        <f ca="1">IF(AND('Material+Limits'!$Q$21=TRUE,Daten!N321=1)=TRUE,1,0)</f>
        <v>1</v>
      </c>
      <c r="F321" s="185">
        <f ca="1">IF(AND('Material+Limits'!$Q$25=TRUE,Daten!M321=1)=TRUE,1,0)</f>
        <v>0</v>
      </c>
      <c r="G321" s="185">
        <f ca="1">IF(AND('Material+Limits'!$Q$24=TRUE,Daten!L321=1)=TRUE,1,0)</f>
        <v>0</v>
      </c>
      <c r="H321" s="185">
        <f ca="1">IF(AND('Material+Limits'!$Q$23=TRUE,Daten!K321=1)=TRUE,1,0)</f>
        <v>0</v>
      </c>
      <c r="I321" s="185">
        <f ca="1">IF(AND('Material+Limits'!$Q$22=TRUE,Daten!J321=1)=TRUE,1,0)</f>
        <v>0</v>
      </c>
      <c r="J321" s="155">
        <f ca="1">IF(Daten!$U321=13,1,0)</f>
        <v>0</v>
      </c>
      <c r="K321" s="156">
        <f ca="1">IF(Daten!$U321&lt;&gt;Daten!$V321,1,IF(Daten!$U321=14,1,0))</f>
        <v>0</v>
      </c>
      <c r="L321" s="156">
        <f ca="1">IF(Daten!$U321&lt;&gt;Daten!$V321,1,IF(Daten!$U321=16,1,0))</f>
        <v>0</v>
      </c>
      <c r="M321" s="156">
        <f ca="1">IF(Daten!$V321=17,1,0)</f>
        <v>0</v>
      </c>
      <c r="N321" s="157">
        <f ca="1">IF(Daten!$W321=Sprache!$A$60,1,0)</f>
        <v>1</v>
      </c>
      <c r="O321" s="177">
        <f>IF(AND(Daten!$AK321&lt;=KINVARO!$AW$3,Daten!$AL321&gt;=KINVARO!$AW$3)=TRUE,1,0)</f>
        <v>1</v>
      </c>
      <c r="P321" s="178">
        <f>IF(AND(Daten!$Z321&lt;=KINVARO!$AW$4,Daten!$AA321&gt;=KINVARO!$AW$4)=TRUE,1,0)</f>
        <v>0</v>
      </c>
      <c r="Q321" s="178"/>
      <c r="R321" s="178">
        <f>IF(AND(Daten!$AC321&lt;='Material+Limits'!$I$58,Daten!$AD321&gt;='Material+Limits'!$I$58)=TRUE,1,0)</f>
        <v>0</v>
      </c>
      <c r="S321" s="67">
        <f ca="1">IF(Daten!$X321=Sprache!$A$125,1,0)</f>
        <v>1</v>
      </c>
      <c r="T321" s="69" t="str">
        <f ca="1">Sprache!$A$58</f>
        <v>Podnośnik T-65</v>
      </c>
      <c r="U321" s="66">
        <f ca="1">Sprache!$A$64</f>
        <v>0</v>
      </c>
      <c r="V321" s="67">
        <f ca="1">Sprache!$A$64</f>
        <v>0</v>
      </c>
      <c r="W321" s="68" t="str">
        <f ca="1">Sprache!$A$60</f>
        <v>Front lity (drewno/płyta)</v>
      </c>
      <c r="X321" s="30">
        <f ca="1">Sprache!$A$126</f>
        <v>0</v>
      </c>
      <c r="Y321" s="68" t="str">
        <f ca="1">Sprache!$A$69</f>
        <v>Front</v>
      </c>
      <c r="Z321" s="68">
        <v>600</v>
      </c>
      <c r="AA321" s="69">
        <v>600</v>
      </c>
      <c r="AB321" s="68"/>
      <c r="AC321" s="70">
        <v>1.3</v>
      </c>
      <c r="AD321" s="71">
        <v>3.1</v>
      </c>
      <c r="AE321" s="68" t="s">
        <v>809</v>
      </c>
      <c r="AF321" s="68" t="str">
        <f ca="1">Sprache!$A$101</f>
        <v>Zestaw (prawy+lewy)</v>
      </c>
      <c r="AG321" s="68" t="s">
        <v>26</v>
      </c>
      <c r="AH321" s="68" t="str">
        <f ca="1">Sprache!$A$121</f>
        <v>Sprężyna czarna dwustronnie</v>
      </c>
      <c r="AI321" s="30" t="s">
        <v>26</v>
      </c>
      <c r="AJ321" s="30" t="s">
        <v>26</v>
      </c>
      <c r="AK321" s="68">
        <f>'Material+Limits'!$K$9</f>
        <v>200</v>
      </c>
      <c r="AL321" s="69">
        <v>1200</v>
      </c>
      <c r="AM321" s="30"/>
      <c r="AN321" s="28"/>
      <c r="AO321"/>
      <c r="AR321"/>
      <c r="AS321"/>
      <c r="AT321"/>
      <c r="AU321"/>
      <c r="AV321"/>
    </row>
    <row r="322" spans="1:48" x14ac:dyDescent="0.25">
      <c r="A322" t="str">
        <f t="shared" ca="1" si="9"/>
        <v/>
      </c>
      <c r="B322" t="str">
        <f t="shared" ref="B322:B391" ca="1" si="10">IF(F322+G322+H322+I322+D322+E322=2,1,"")</f>
        <v/>
      </c>
      <c r="C322" s="79">
        <f>IF('Material+Limits'!$P$6=TRUE,1,0)</f>
        <v>0</v>
      </c>
      <c r="D322" s="39">
        <f>IF(Daten!$O322+Daten!$P322+Daten!$R322=3,1,0)</f>
        <v>0</v>
      </c>
      <c r="E322" s="184">
        <f ca="1">IF(AND('Material+Limits'!$Q$21=TRUE,Daten!N322=1)=TRUE,1,0)</f>
        <v>0</v>
      </c>
      <c r="F322" s="185">
        <f>IF(AND('Material+Limits'!$Q$25=TRUE,Daten!M322=1)=TRUE,1,0)</f>
        <v>0</v>
      </c>
      <c r="G322" s="185">
        <f>IF(AND('Material+Limits'!$Q$24=TRUE,Daten!L322=1)=TRUE,1,0)</f>
        <v>0</v>
      </c>
      <c r="H322" s="185">
        <f>IF(AND('Material+Limits'!$Q$23=TRUE,Daten!K322=1)=TRUE,1,0)</f>
        <v>0</v>
      </c>
      <c r="I322" s="185">
        <f>IF(AND('Material+Limits'!$Q$22=TRUE,Daten!J322=1)=TRUE,1,0)</f>
        <v>0</v>
      </c>
      <c r="J322" s="158">
        <f>IF(Daten!$U322=13,1,0)</f>
        <v>1</v>
      </c>
      <c r="K322" s="159">
        <f>IF(Daten!$U322&lt;&gt;Daten!$V322,1,IF(Daten!$U322=14,1,0))</f>
        <v>0</v>
      </c>
      <c r="L322" s="159">
        <f>IF(Daten!$U322&lt;&gt;Daten!$V322,1,IF(Daten!$U322=16,1,0))</f>
        <v>0</v>
      </c>
      <c r="M322" s="159">
        <f>IF(Daten!$V322=17,1,0)</f>
        <v>0</v>
      </c>
      <c r="N322" s="160">
        <f ca="1">IF(Daten!$W322=Sprache!$A$60,1,0)</f>
        <v>0</v>
      </c>
      <c r="O322" s="171">
        <f>IF(AND(Daten!$AK322&lt;=KINVARO!$AW$3,Daten!$AL322&gt;=KINVARO!$AW$3)=TRUE,1,0)</f>
        <v>1</v>
      </c>
      <c r="P322" s="172">
        <f>IF(AND(Daten!$Z322&lt;=KINVARO!$AW$4,Daten!$AA322&gt;=KINVARO!$AW$4)=TRUE,1,0)</f>
        <v>0</v>
      </c>
      <c r="Q322" s="172"/>
      <c r="R322" s="172">
        <f>IF(AND(Daten!$AC322&lt;='Material+Limits'!$I$58,Daten!$AD322&gt;='Material+Limits'!$I$58)=TRUE,1,0)</f>
        <v>0</v>
      </c>
      <c r="S322" s="23">
        <f ca="1">IF(Daten!$X322=Sprache!$A$125,1,0)</f>
        <v>1</v>
      </c>
      <c r="T322" s="24" t="str">
        <f ca="1">Sprache!$A$58</f>
        <v>Podnośnik T-65</v>
      </c>
      <c r="U322" s="27">
        <v>13</v>
      </c>
      <c r="V322" s="23">
        <v>13</v>
      </c>
      <c r="W322" s="25">
        <f ca="1">Sprache!$A$131</f>
        <v>0</v>
      </c>
      <c r="X322" s="25">
        <f ca="1">Sprache!$A$126</f>
        <v>0</v>
      </c>
      <c r="Y322" s="25" t="str">
        <f ca="1">Sprache!$A$69</f>
        <v>Front</v>
      </c>
      <c r="Z322" s="25">
        <v>600</v>
      </c>
      <c r="AA322" s="24">
        <v>600</v>
      </c>
      <c r="AB322" s="25"/>
      <c r="AC322" s="26">
        <v>1.3</v>
      </c>
      <c r="AD322" s="54">
        <v>3.1</v>
      </c>
      <c r="AE322" s="25" t="s">
        <v>810</v>
      </c>
      <c r="AF322" s="25" t="str">
        <f ca="1">Sprache!$A$101</f>
        <v>Zestaw (prawy+lewy)</v>
      </c>
      <c r="AG322" s="25" t="s">
        <v>26</v>
      </c>
      <c r="AH322" s="25" t="str">
        <f ca="1">Sprache!$A$121</f>
        <v>Sprężyna czarna dwustronnie</v>
      </c>
      <c r="AI322" s="25" t="s">
        <v>26</v>
      </c>
      <c r="AJ322" s="25" t="s">
        <v>26</v>
      </c>
      <c r="AK322" s="25">
        <f>'Material+Limits'!$K$9</f>
        <v>200</v>
      </c>
      <c r="AL322" s="24">
        <v>1200</v>
      </c>
      <c r="AM322" s="30"/>
      <c r="AN322" s="24"/>
      <c r="AO322"/>
      <c r="AR322"/>
      <c r="AS322"/>
      <c r="AT322"/>
      <c r="AU322"/>
      <c r="AV322"/>
    </row>
    <row r="323" spans="1:48" x14ac:dyDescent="0.25">
      <c r="A323" t="str">
        <f t="shared" ref="A323:A392" ca="1" si="11">IF(E323+F323+G323+H323+I323+C323+D323=3,1,"")</f>
        <v/>
      </c>
      <c r="B323" t="str">
        <f t="shared" ca="1" si="10"/>
        <v/>
      </c>
      <c r="C323" s="79">
        <f>IF('Material+Limits'!$P$6=TRUE,1,0)</f>
        <v>0</v>
      </c>
      <c r="D323" s="39">
        <f>IF(Daten!$O323+Daten!$P323+Daten!$R323=3,1,0)</f>
        <v>0</v>
      </c>
      <c r="E323" s="184">
        <f ca="1">IF(AND('Material+Limits'!$Q$21=TRUE,Daten!N323=1)=TRUE,1,0)</f>
        <v>0</v>
      </c>
      <c r="F323" s="185">
        <f>IF(AND('Material+Limits'!$Q$25=TRUE,Daten!M323=1)=TRUE,1,0)</f>
        <v>0</v>
      </c>
      <c r="G323" s="185">
        <f>IF(AND('Material+Limits'!$Q$24=TRUE,Daten!L323=1)=TRUE,1,0)</f>
        <v>0</v>
      </c>
      <c r="H323" s="185">
        <f>IF(AND('Material+Limits'!$Q$23=TRUE,Daten!K323=1)=TRUE,1,0)</f>
        <v>0</v>
      </c>
      <c r="I323" s="185">
        <f>IF(AND('Material+Limits'!$Q$22=TRUE,Daten!J323=1)=TRUE,1,0)</f>
        <v>0</v>
      </c>
      <c r="J323" s="155">
        <f>IF(Daten!$U323=13,1,0)</f>
        <v>0</v>
      </c>
      <c r="K323" s="156">
        <f>IF(Daten!$U323&lt;&gt;Daten!$V323,1,IF(Daten!$U323=14,1,0))</f>
        <v>1</v>
      </c>
      <c r="L323" s="156">
        <f>IF(Daten!$U323&lt;&gt;Daten!$V323,1,IF(Daten!$U323=16,1,0))</f>
        <v>0</v>
      </c>
      <c r="M323" s="156">
        <f>IF(Daten!$V323=17,1,0)</f>
        <v>0</v>
      </c>
      <c r="N323" s="157">
        <f ca="1">IF(Daten!$W323=Sprache!$A$60,1,0)</f>
        <v>0</v>
      </c>
      <c r="O323" s="169">
        <f>IF(AND(Daten!$AK323&lt;=KINVARO!$AW$3,Daten!$AL323&gt;=KINVARO!$AW$3)=TRUE,1,0)</f>
        <v>1</v>
      </c>
      <c r="P323" s="170">
        <f>IF(AND(Daten!$Z323&lt;=KINVARO!$AW$4,Daten!$AA323&gt;=KINVARO!$AW$4)=TRUE,1,0)</f>
        <v>0</v>
      </c>
      <c r="R323" s="170">
        <f>IF(AND(Daten!$AC323&lt;='Material+Limits'!$I$58,Daten!$AD323&gt;='Material+Limits'!$I$58)=TRUE,1,0)</f>
        <v>0</v>
      </c>
      <c r="S323" s="29">
        <f ca="1">IF(Daten!$X323=Sprache!$A$125,1,0)</f>
        <v>1</v>
      </c>
      <c r="T323" s="28" t="str">
        <f ca="1">Sprache!$A$58</f>
        <v>Podnośnik T-65</v>
      </c>
      <c r="U323" s="32">
        <v>14</v>
      </c>
      <c r="V323" s="29">
        <v>14</v>
      </c>
      <c r="W323" s="30">
        <f ca="1">Sprache!$A$131</f>
        <v>0</v>
      </c>
      <c r="X323" s="30">
        <f ca="1">Sprache!$A$126</f>
        <v>0</v>
      </c>
      <c r="Y323" s="30" t="str">
        <f ca="1">Sprache!$A$69</f>
        <v>Front</v>
      </c>
      <c r="Z323" s="30">
        <v>600</v>
      </c>
      <c r="AA323" s="28">
        <v>600</v>
      </c>
      <c r="AB323" s="30"/>
      <c r="AC323" s="31">
        <v>1.3</v>
      </c>
      <c r="AD323" s="53">
        <v>3.1</v>
      </c>
      <c r="AE323" s="30" t="s">
        <v>811</v>
      </c>
      <c r="AF323" s="30" t="str">
        <f ca="1">Sprache!$A$101</f>
        <v>Zestaw (prawy+lewy)</v>
      </c>
      <c r="AG323" s="30" t="s">
        <v>26</v>
      </c>
      <c r="AH323" s="30" t="str">
        <f ca="1">Sprache!$A$121</f>
        <v>Sprężyna czarna dwustronnie</v>
      </c>
      <c r="AI323" s="30" t="s">
        <v>26</v>
      </c>
      <c r="AJ323" s="30" t="s">
        <v>26</v>
      </c>
      <c r="AK323" s="30">
        <f>'Material+Limits'!$K$9</f>
        <v>200</v>
      </c>
      <c r="AL323" s="28">
        <v>1200</v>
      </c>
      <c r="AM323" s="30"/>
      <c r="AN323" s="28"/>
      <c r="AO323"/>
      <c r="AR323"/>
      <c r="AS323"/>
      <c r="AT323"/>
      <c r="AU323"/>
      <c r="AV323"/>
    </row>
    <row r="324" spans="1:48" x14ac:dyDescent="0.25">
      <c r="A324" t="str">
        <f t="shared" ca="1" si="11"/>
        <v/>
      </c>
      <c r="B324" t="str">
        <f t="shared" ca="1" si="10"/>
        <v/>
      </c>
      <c r="C324" s="79">
        <f>IF('Material+Limits'!$P$6=TRUE,1,0)</f>
        <v>0</v>
      </c>
      <c r="D324" s="39">
        <f>IF(Daten!$O324+Daten!$P324+Daten!$R324=3,1,0)</f>
        <v>0</v>
      </c>
      <c r="E324" s="184">
        <f ca="1">IF(AND('Material+Limits'!$Q$21=TRUE,Daten!N324=1)=TRUE,1,0)</f>
        <v>0</v>
      </c>
      <c r="F324" s="185">
        <f>IF(AND('Material+Limits'!$Q$25=TRUE,Daten!M324=1)=TRUE,1,0)</f>
        <v>0</v>
      </c>
      <c r="G324" s="185">
        <f>IF(AND('Material+Limits'!$Q$24=TRUE,Daten!L324=1)=TRUE,1,0)</f>
        <v>0</v>
      </c>
      <c r="H324" s="185">
        <f>IF(AND('Material+Limits'!$Q$23=TRUE,Daten!K324=1)=TRUE,1,0)</f>
        <v>0</v>
      </c>
      <c r="I324" s="185">
        <f>IF(AND('Material+Limits'!$Q$22=TRUE,Daten!J324=1)=TRUE,1,0)</f>
        <v>0</v>
      </c>
      <c r="J324" s="158">
        <f>IF(Daten!$U324=13,1,0)</f>
        <v>0</v>
      </c>
      <c r="K324" s="159">
        <f>IF(Daten!$U324&lt;&gt;Daten!$V324,1,IF(Daten!$U324=14,1,0))</f>
        <v>0</v>
      </c>
      <c r="L324" s="159">
        <f>IF(Daten!$U324&lt;&gt;Daten!$V324,1,IF(Daten!$U324=16,1,0))</f>
        <v>1</v>
      </c>
      <c r="M324" s="159">
        <f>IF(Daten!$V324=17,1,0)</f>
        <v>0</v>
      </c>
      <c r="N324" s="160">
        <f ca="1">IF(Daten!$W324=Sprache!$A$60,1,0)</f>
        <v>0</v>
      </c>
      <c r="O324" s="171">
        <f>IF(AND(Daten!$AK324&lt;=KINVARO!$AW$3,Daten!$AL324&gt;=KINVARO!$AW$3)=TRUE,1,0)</f>
        <v>1</v>
      </c>
      <c r="P324" s="172">
        <f>IF(AND(Daten!$Z324&lt;=KINVARO!$AW$4,Daten!$AA324&gt;=KINVARO!$AW$4)=TRUE,1,0)</f>
        <v>0</v>
      </c>
      <c r="Q324" s="172"/>
      <c r="R324" s="172">
        <f>IF(AND(Daten!$AC324&lt;='Material+Limits'!$I$58,Daten!$AD324&gt;='Material+Limits'!$I$58)=TRUE,1,0)</f>
        <v>0</v>
      </c>
      <c r="S324" s="23">
        <f ca="1">IF(Daten!$X324=Sprache!$A$125,1,0)</f>
        <v>1</v>
      </c>
      <c r="T324" s="24" t="str">
        <f ca="1">Sprache!$A$58</f>
        <v>Podnośnik T-65</v>
      </c>
      <c r="U324" s="27">
        <v>16</v>
      </c>
      <c r="V324" s="23">
        <v>16</v>
      </c>
      <c r="W324" s="25">
        <f ca="1">Sprache!$A$131</f>
        <v>0</v>
      </c>
      <c r="X324" s="25">
        <f ca="1">Sprache!$A$126</f>
        <v>0</v>
      </c>
      <c r="Y324" s="25" t="str">
        <f ca="1">Sprache!$A$69</f>
        <v>Front</v>
      </c>
      <c r="Z324" s="25">
        <v>600</v>
      </c>
      <c r="AA324" s="24">
        <v>600</v>
      </c>
      <c r="AB324" s="25"/>
      <c r="AC324" s="26">
        <v>1.3</v>
      </c>
      <c r="AD324" s="54">
        <v>3.1</v>
      </c>
      <c r="AE324" s="25" t="s">
        <v>812</v>
      </c>
      <c r="AF324" s="25" t="str">
        <f ca="1">Sprache!$A$101</f>
        <v>Zestaw (prawy+lewy)</v>
      </c>
      <c r="AG324" s="25" t="s">
        <v>26</v>
      </c>
      <c r="AH324" s="25" t="str">
        <f ca="1">Sprache!$A$121</f>
        <v>Sprężyna czarna dwustronnie</v>
      </c>
      <c r="AI324" s="25" t="s">
        <v>26</v>
      </c>
      <c r="AJ324" s="25" t="s">
        <v>26</v>
      </c>
      <c r="AK324" s="25">
        <f>'Material+Limits'!$K$9</f>
        <v>200</v>
      </c>
      <c r="AL324" s="24">
        <v>1200</v>
      </c>
      <c r="AM324" s="30"/>
      <c r="AN324" s="24"/>
      <c r="AO324"/>
      <c r="AR324"/>
      <c r="AS324"/>
      <c r="AT324"/>
      <c r="AU324"/>
      <c r="AV324"/>
    </row>
    <row r="325" spans="1:48" s="9" customFormat="1" ht="15.75" thickBot="1" x14ac:dyDescent="0.3">
      <c r="A325" t="str">
        <f t="shared" ca="1" si="11"/>
        <v/>
      </c>
      <c r="B325" t="str">
        <f t="shared" ca="1" si="10"/>
        <v/>
      </c>
      <c r="C325" s="81">
        <f>IF('Material+Limits'!$P$6=TRUE,1,0)</f>
        <v>0</v>
      </c>
      <c r="D325" s="39">
        <f>IF(Daten!$O325+Daten!$P325+Daten!$R325=3,1,0)</f>
        <v>0</v>
      </c>
      <c r="E325" s="184">
        <f ca="1">IF(AND('Material+Limits'!$Q$21=TRUE,Daten!N325=1)=TRUE,1,0)</f>
        <v>0</v>
      </c>
      <c r="F325" s="185">
        <f>IF(AND('Material+Limits'!$Q$25=TRUE,Daten!M325=1)=TRUE,1,0)</f>
        <v>0</v>
      </c>
      <c r="G325" s="185">
        <f>IF(AND('Material+Limits'!$Q$24=TRUE,Daten!L325=1)=TRUE,1,0)</f>
        <v>0</v>
      </c>
      <c r="H325" s="185">
        <f>IF(AND('Material+Limits'!$Q$23=TRUE,Daten!K325=1)=TRUE,1,0)</f>
        <v>0</v>
      </c>
      <c r="I325" s="185">
        <f>IF(AND('Material+Limits'!$Q$22=TRUE,Daten!J325=1)=TRUE,1,0)</f>
        <v>0</v>
      </c>
      <c r="J325" s="155">
        <f>IF(Daten!$U325=13,1,0)</f>
        <v>0</v>
      </c>
      <c r="K325" s="156">
        <f>IF(Daten!$U325&lt;&gt;Daten!$V325,1,IF(Daten!$U325=14,1,0))</f>
        <v>0</v>
      </c>
      <c r="L325" s="156">
        <f>IF(Daten!$U325&lt;&gt;Daten!$V325,1,IF(Daten!$U325=16,1,0))</f>
        <v>0</v>
      </c>
      <c r="M325" s="156">
        <f>IF(Daten!$V325=17,1,0)</f>
        <v>1</v>
      </c>
      <c r="N325" s="157">
        <f ca="1">IF(Daten!$W325=Sprache!$A$60,1,0)</f>
        <v>0</v>
      </c>
      <c r="O325" s="169">
        <f>IF(AND(Daten!$AK325&lt;=KINVARO!$AW$3,Daten!$AL325&gt;=KINVARO!$AW$3)=TRUE,1,0)</f>
        <v>1</v>
      </c>
      <c r="P325" s="170">
        <f>IF(AND(Daten!$Z325&lt;=KINVARO!$AW$4,Daten!$AA325&gt;=KINVARO!$AW$4)=TRUE,1,0)</f>
        <v>0</v>
      </c>
      <c r="Q325" s="170"/>
      <c r="R325" s="170">
        <f>IF(AND(Daten!$AC325&lt;='Material+Limits'!$I$58,Daten!$AD325&gt;='Material+Limits'!$I$58)=TRUE,1,0)</f>
        <v>0</v>
      </c>
      <c r="S325" s="29">
        <f ca="1">IF(Daten!$X325=Sprache!$A$125,1,0)</f>
        <v>1</v>
      </c>
      <c r="T325" s="28" t="str">
        <f ca="1">Sprache!$A$58</f>
        <v>Podnośnik T-65</v>
      </c>
      <c r="U325" s="32">
        <v>17</v>
      </c>
      <c r="V325" s="29">
        <v>17</v>
      </c>
      <c r="W325" s="30">
        <f ca="1">Sprache!$A$131</f>
        <v>0</v>
      </c>
      <c r="X325" s="30">
        <f ca="1">Sprache!$A$126</f>
        <v>0</v>
      </c>
      <c r="Y325" s="30" t="str">
        <f ca="1">Sprache!$A$69</f>
        <v>Front</v>
      </c>
      <c r="Z325" s="30">
        <v>600</v>
      </c>
      <c r="AA325" s="28">
        <v>600</v>
      </c>
      <c r="AB325" s="30"/>
      <c r="AC325" s="31">
        <v>1.3</v>
      </c>
      <c r="AD325" s="53">
        <v>3.1</v>
      </c>
      <c r="AE325" s="30" t="s">
        <v>813</v>
      </c>
      <c r="AF325" s="30" t="str">
        <f ca="1">Sprache!$A$101</f>
        <v>Zestaw (prawy+lewy)</v>
      </c>
      <c r="AG325" s="30" t="s">
        <v>26</v>
      </c>
      <c r="AH325" s="30" t="str">
        <f ca="1">Sprache!$A$121</f>
        <v>Sprężyna czarna dwustronnie</v>
      </c>
      <c r="AI325" s="30" t="s">
        <v>26</v>
      </c>
      <c r="AJ325" s="30" t="s">
        <v>26</v>
      </c>
      <c r="AK325" s="30">
        <f>'Material+Limits'!$K$9</f>
        <v>200</v>
      </c>
      <c r="AL325" s="28">
        <v>1200</v>
      </c>
      <c r="AM325" s="30"/>
      <c r="AN325" s="28"/>
    </row>
    <row r="326" spans="1:48" ht="15.75" thickTop="1" x14ac:dyDescent="0.25">
      <c r="A326" t="str">
        <f t="shared" ca="1" si="11"/>
        <v/>
      </c>
      <c r="B326" t="str">
        <f t="shared" ca="1" si="10"/>
        <v/>
      </c>
      <c r="C326" s="79">
        <f>IF('Material+Limits'!$P$5=TRUE,1,0)</f>
        <v>0</v>
      </c>
      <c r="D326" s="39">
        <f>IF(Daten!$O326+Daten!$P326+Daten!$R326=3,1,0)</f>
        <v>0</v>
      </c>
      <c r="E326" s="184">
        <f ca="1">IF(AND('Material+Limits'!$Q$21=TRUE,Daten!N326=1)=TRUE,1,0)</f>
        <v>1</v>
      </c>
      <c r="F326" s="185">
        <f ca="1">IF(AND('Material+Limits'!$Q$25=TRUE,Daten!M326=1)=TRUE,1,0)</f>
        <v>0</v>
      </c>
      <c r="G326" s="185">
        <f ca="1">IF(AND('Material+Limits'!$Q$24=TRUE,Daten!L326=1)=TRUE,1,0)</f>
        <v>0</v>
      </c>
      <c r="H326" s="185">
        <f ca="1">IF(AND('Material+Limits'!$Q$23=TRUE,Daten!K326=1)=TRUE,1,0)</f>
        <v>0</v>
      </c>
      <c r="I326" s="185">
        <f ca="1">IF(AND('Material+Limits'!$Q$22=TRUE,Daten!J326=1)=TRUE,1,0)</f>
        <v>0</v>
      </c>
      <c r="J326" s="158">
        <f ca="1">IF(Daten!$U326=13,1,0)</f>
        <v>0</v>
      </c>
      <c r="K326" s="159">
        <f ca="1">IF(Daten!$U326&lt;&gt;Daten!$V326,1,IF(Daten!$U326=14,1,0))</f>
        <v>0</v>
      </c>
      <c r="L326" s="159">
        <f ca="1">IF(Daten!$U326&lt;&gt;Daten!$V326,1,IF(Daten!$U326=16,1,0))</f>
        <v>0</v>
      </c>
      <c r="M326" s="159">
        <f ca="1">IF(Daten!$V326=17,1,0)</f>
        <v>0</v>
      </c>
      <c r="N326" s="160">
        <f ca="1">IF(Daten!$W326=Sprache!$A$60,1,0)</f>
        <v>1</v>
      </c>
      <c r="O326" s="175">
        <f>IF(AND(Daten!$AK326&lt;=KINVARO!$AW$3,Daten!$AL326&gt;=KINVARO!$AW$3)=TRUE,1,0)</f>
        <v>1</v>
      </c>
      <c r="P326" s="176">
        <f>IF(AND(Daten!$Z326&lt;=KINVARO!$AW$4,Daten!$AA326&gt;=KINVARO!$AW$4)=TRUE,1,0)</f>
        <v>0</v>
      </c>
      <c r="Q326" s="176"/>
      <c r="R326" s="176">
        <f>IF(AND(Daten!$AC326&lt;='Material+Limits'!$I$58,Daten!$AD326&gt;='Material+Limits'!$I$58)=TRUE,1,0)</f>
        <v>1</v>
      </c>
      <c r="S326" s="61">
        <f ca="1">IF(Daten!$X326=Sprache!$A$125,1,0)</f>
        <v>1</v>
      </c>
      <c r="T326" s="63" t="str">
        <f ca="1">Sprache!$A$59</f>
        <v>Podnośnik S-35</v>
      </c>
      <c r="U326" s="60">
        <f ca="1">Sprache!$A$64</f>
        <v>0</v>
      </c>
      <c r="V326" s="61">
        <f ca="1">Sprache!$A$64</f>
        <v>0</v>
      </c>
      <c r="W326" s="62" t="str">
        <f ca="1">Sprache!$A$60</f>
        <v>Front lity (drewno/płyta)</v>
      </c>
      <c r="X326" s="25">
        <f ca="1">Sprache!$A$126</f>
        <v>0</v>
      </c>
      <c r="Y326" s="62" t="str">
        <f ca="1">Sprache!$A$69</f>
        <v>Front</v>
      </c>
      <c r="Z326" s="62">
        <v>420</v>
      </c>
      <c r="AA326" s="63">
        <v>449</v>
      </c>
      <c r="AB326" s="62"/>
      <c r="AC326" s="64">
        <v>1.5</v>
      </c>
      <c r="AD326" s="65">
        <v>7.5</v>
      </c>
      <c r="AE326" s="62" t="s">
        <v>814</v>
      </c>
      <c r="AF326" s="62" t="str">
        <f ca="1">Sprache!$A$101</f>
        <v>Zestaw (prawy+lewy)</v>
      </c>
      <c r="AG326" s="62" t="s">
        <v>26</v>
      </c>
      <c r="AH326" s="62" t="str">
        <f ca="1">Sprache!$A$110</f>
        <v>Siłownik A</v>
      </c>
      <c r="AI326" s="25" t="s">
        <v>26</v>
      </c>
      <c r="AJ326" s="25" t="s">
        <v>26</v>
      </c>
      <c r="AK326" s="62">
        <v>450</v>
      </c>
      <c r="AL326" s="24">
        <v>1200</v>
      </c>
      <c r="AM326" s="30"/>
      <c r="AN326" s="24"/>
      <c r="AO326"/>
      <c r="AR326"/>
      <c r="AS326"/>
      <c r="AT326"/>
      <c r="AU326"/>
      <c r="AV326"/>
    </row>
    <row r="327" spans="1:48" x14ac:dyDescent="0.25">
      <c r="A327" t="str">
        <f t="shared" ca="1" si="11"/>
        <v/>
      </c>
      <c r="B327" t="str">
        <f t="shared" ca="1" si="10"/>
        <v/>
      </c>
      <c r="C327" s="79">
        <f>IF('Material+Limits'!$P$5=TRUE,1,0)</f>
        <v>0</v>
      </c>
      <c r="D327" s="39">
        <f>IF(Daten!$O327+Daten!$P327+Daten!$R327=3,1,0)</f>
        <v>0</v>
      </c>
      <c r="E327" s="184">
        <f ca="1">IF(AND('Material+Limits'!$Q$21=TRUE,Daten!N327=1)=TRUE,1,0)</f>
        <v>1</v>
      </c>
      <c r="F327" s="185">
        <f ca="1">IF(AND('Material+Limits'!$Q$25=TRUE,Daten!M327=1)=TRUE,1,0)</f>
        <v>0</v>
      </c>
      <c r="G327" s="185">
        <f ca="1">IF(AND('Material+Limits'!$Q$24=TRUE,Daten!L327=1)=TRUE,1,0)</f>
        <v>0</v>
      </c>
      <c r="H327" s="185">
        <f ca="1">IF(AND('Material+Limits'!$Q$23=TRUE,Daten!K327=1)=TRUE,1,0)</f>
        <v>0</v>
      </c>
      <c r="I327" s="185">
        <f ca="1">IF(AND('Material+Limits'!$Q$22=TRUE,Daten!J327=1)=TRUE,1,0)</f>
        <v>0</v>
      </c>
      <c r="J327" s="155">
        <f ca="1">IF(Daten!$U327=13,1,0)</f>
        <v>0</v>
      </c>
      <c r="K327" s="156">
        <f ca="1">IF(Daten!$U327&lt;&gt;Daten!$V327,1,IF(Daten!$U327=14,1,0))</f>
        <v>0</v>
      </c>
      <c r="L327" s="156">
        <f ca="1">IF(Daten!$U327&lt;&gt;Daten!$V327,1,IF(Daten!$U327=16,1,0))</f>
        <v>0</v>
      </c>
      <c r="M327" s="156">
        <f ca="1">IF(Daten!$V327=17,1,0)</f>
        <v>0</v>
      </c>
      <c r="N327" s="157">
        <f ca="1">IF(Daten!$W327=Sprache!$A$60,1,0)</f>
        <v>1</v>
      </c>
      <c r="O327" s="169">
        <f>IF(AND(Daten!$AK327&lt;=KINVARO!$AW$3,Daten!$AL327&gt;=KINVARO!$AW$3)=TRUE,1,0)</f>
        <v>1</v>
      </c>
      <c r="P327" s="170">
        <f>IF(AND(Daten!$Z327&lt;=KINVARO!$AW$4,Daten!$AA327&gt;=KINVARO!$AW$4)=TRUE,1,0)</f>
        <v>0</v>
      </c>
      <c r="R327" s="170">
        <f>IF(AND(Daten!$AC327&lt;='Material+Limits'!$I$58,Daten!$AD327&gt;='Material+Limits'!$I$58)=TRUE,1,0)</f>
        <v>1</v>
      </c>
      <c r="S327" s="29">
        <f ca="1">IF(Daten!$X327=Sprache!$A$125,1,0)</f>
        <v>1</v>
      </c>
      <c r="T327" s="28" t="str">
        <f ca="1">Sprache!$A$59</f>
        <v>Podnośnik S-35</v>
      </c>
      <c r="U327" s="32">
        <f ca="1">Sprache!$A$64</f>
        <v>0</v>
      </c>
      <c r="V327" s="29">
        <f ca="1">Sprache!$A$64</f>
        <v>0</v>
      </c>
      <c r="W327" s="30" t="str">
        <f ca="1">Sprache!$A$60</f>
        <v>Front lity (drewno/płyta)</v>
      </c>
      <c r="X327" s="30">
        <f ca="1">Sprache!$A$126</f>
        <v>0</v>
      </c>
      <c r="Y327" s="30" t="str">
        <f ca="1">Sprache!$A$69</f>
        <v>Front</v>
      </c>
      <c r="Z327" s="30">
        <v>420</v>
      </c>
      <c r="AA327" s="28">
        <v>449</v>
      </c>
      <c r="AB327" s="30"/>
      <c r="AC327" s="31">
        <v>5</v>
      </c>
      <c r="AD327" s="53">
        <v>11</v>
      </c>
      <c r="AE327" s="30" t="s">
        <v>815</v>
      </c>
      <c r="AF327" s="30" t="str">
        <f ca="1">Sprache!$A$101</f>
        <v>Zestaw (prawy+lewy)</v>
      </c>
      <c r="AG327" s="30" t="s">
        <v>26</v>
      </c>
      <c r="AH327" s="30" t="str">
        <f ca="1">Sprache!$A$111</f>
        <v>Siłownik B</v>
      </c>
      <c r="AI327" s="30" t="s">
        <v>26</v>
      </c>
      <c r="AJ327" s="30" t="s">
        <v>26</v>
      </c>
      <c r="AK327" s="30">
        <v>450</v>
      </c>
      <c r="AL327" s="28">
        <v>1200</v>
      </c>
      <c r="AM327" s="30"/>
      <c r="AN327" s="28"/>
      <c r="AO327"/>
      <c r="AR327"/>
      <c r="AS327"/>
      <c r="AT327"/>
      <c r="AU327"/>
      <c r="AV327"/>
    </row>
    <row r="328" spans="1:48" x14ac:dyDescent="0.25">
      <c r="A328" t="str">
        <f t="shared" ca="1" si="11"/>
        <v/>
      </c>
      <c r="B328" t="str">
        <f t="shared" ca="1" si="10"/>
        <v/>
      </c>
      <c r="C328" s="79">
        <f>IF('Material+Limits'!$P$5=TRUE,1,0)</f>
        <v>0</v>
      </c>
      <c r="D328" s="39">
        <f>IF(Daten!$O328+Daten!$P328+Daten!$R328=3,1,0)</f>
        <v>0</v>
      </c>
      <c r="E328" s="184">
        <f ca="1">IF(AND('Material+Limits'!$Q$21=TRUE,Daten!N328=1)=TRUE,1,0)</f>
        <v>0</v>
      </c>
      <c r="F328" s="185">
        <f>IF(AND('Material+Limits'!$Q$25=TRUE,Daten!M328=1)=TRUE,1,0)</f>
        <v>0</v>
      </c>
      <c r="G328" s="185">
        <f>IF(AND('Material+Limits'!$Q$24=TRUE,Daten!L328=1)=TRUE,1,0)</f>
        <v>0</v>
      </c>
      <c r="H328" s="185">
        <f>IF(AND('Material+Limits'!$Q$23=TRUE,Daten!K328=1)=TRUE,1,0)</f>
        <v>0</v>
      </c>
      <c r="I328" s="185">
        <f>IF(AND('Material+Limits'!$Q$22=TRUE,Daten!J328=1)=TRUE,1,0)</f>
        <v>0</v>
      </c>
      <c r="J328" s="158">
        <f>IF(Daten!$U328=13,1,0)</f>
        <v>1</v>
      </c>
      <c r="K328" s="159">
        <f>IF(Daten!$U328&lt;&gt;Daten!$V328,1,IF(Daten!$U328=14,1,0))</f>
        <v>1</v>
      </c>
      <c r="L328" s="159">
        <f>IF(Daten!$U328&lt;&gt;Daten!$V328,1,IF(Daten!$U328=16,1,0))</f>
        <v>1</v>
      </c>
      <c r="M328" s="159">
        <f>IF(Daten!$V328=17,1,0)</f>
        <v>1</v>
      </c>
      <c r="N328" s="160">
        <f ca="1">IF(Daten!$W328=Sprache!$A$60,1,0)</f>
        <v>0</v>
      </c>
      <c r="O328" s="171">
        <f>IF(AND(Daten!$AK328&lt;=KINVARO!$AW$3,Daten!$AL328&gt;=KINVARO!$AW$3)=TRUE,1,0)</f>
        <v>1</v>
      </c>
      <c r="P328" s="172">
        <f>IF(AND(Daten!$Z328&lt;=KINVARO!$AW$4,Daten!$AA328&gt;=KINVARO!$AW$4)=TRUE,1,0)</f>
        <v>0</v>
      </c>
      <c r="Q328" s="172"/>
      <c r="R328" s="172">
        <f>IF(AND(Daten!$AC328&lt;='Material+Limits'!$I$58,Daten!$AD328&gt;='Material+Limits'!$I$58)=TRUE,1,0)</f>
        <v>1</v>
      </c>
      <c r="S328" s="23">
        <f ca="1">IF(Daten!$X328=Sprache!$A$125,1,0)</f>
        <v>1</v>
      </c>
      <c r="T328" s="24" t="str">
        <f ca="1">Sprache!$A$59</f>
        <v>Podnośnik S-35</v>
      </c>
      <c r="U328" s="27">
        <v>13</v>
      </c>
      <c r="V328" s="23">
        <v>17</v>
      </c>
      <c r="W328" s="25">
        <f ca="1">Sprache!$A$132</f>
        <v>0</v>
      </c>
      <c r="X328" s="25">
        <f ca="1">Sprache!$A$126</f>
        <v>0</v>
      </c>
      <c r="Y328" s="25" t="str">
        <f ca="1">Sprache!$A$69</f>
        <v>Front</v>
      </c>
      <c r="Z328" s="25">
        <v>420</v>
      </c>
      <c r="AA328" s="24">
        <v>449</v>
      </c>
      <c r="AB328" s="25"/>
      <c r="AC328" s="26">
        <v>1.5</v>
      </c>
      <c r="AD328" s="54">
        <v>7.5</v>
      </c>
      <c r="AE328" s="25" t="s">
        <v>814</v>
      </c>
      <c r="AF328" s="25" t="str">
        <f ca="1">Sprache!$A$101</f>
        <v>Zestaw (prawy+lewy)</v>
      </c>
      <c r="AG328" s="25" t="s">
        <v>26</v>
      </c>
      <c r="AH328" s="25" t="str">
        <f ca="1">Sprache!$A$110</f>
        <v>Siłownik A</v>
      </c>
      <c r="AI328" s="25" t="str">
        <f ca="1">Sprache!$A$137</f>
        <v>Adapter do ram aluminiowych, do Kinvaro S-35 zest.</v>
      </c>
      <c r="AJ328" s="25" t="s">
        <v>827</v>
      </c>
      <c r="AK328" s="25">
        <v>450</v>
      </c>
      <c r="AL328" s="24">
        <v>1200</v>
      </c>
      <c r="AM328" s="30"/>
      <c r="AN328" s="24"/>
      <c r="AO328"/>
      <c r="AR328"/>
      <c r="AS328"/>
      <c r="AT328"/>
      <c r="AU328"/>
      <c r="AV328"/>
    </row>
    <row r="329" spans="1:48" s="5" customFormat="1" x14ac:dyDescent="0.25">
      <c r="A329" t="str">
        <f t="shared" ca="1" si="11"/>
        <v/>
      </c>
      <c r="B329" t="str">
        <f t="shared" ca="1" si="10"/>
        <v/>
      </c>
      <c r="C329" s="79">
        <f>IF('Material+Limits'!$P$5=TRUE,1,0)</f>
        <v>0</v>
      </c>
      <c r="D329" s="39">
        <f>IF(Daten!$O329+Daten!$P329+Daten!$R329=3,1,0)</f>
        <v>0</v>
      </c>
      <c r="E329" s="184">
        <f ca="1">IF(AND('Material+Limits'!$Q$21=TRUE,Daten!N329=1)=TRUE,1,0)</f>
        <v>0</v>
      </c>
      <c r="F329" s="185">
        <f>IF(AND('Material+Limits'!$Q$25=TRUE,Daten!M329=1)=TRUE,1,0)</f>
        <v>0</v>
      </c>
      <c r="G329" s="185">
        <f>IF(AND('Material+Limits'!$Q$24=TRUE,Daten!L329=1)=TRUE,1,0)</f>
        <v>0</v>
      </c>
      <c r="H329" s="185">
        <f>IF(AND('Material+Limits'!$Q$23=TRUE,Daten!K329=1)=TRUE,1,0)</f>
        <v>0</v>
      </c>
      <c r="I329" s="185">
        <f>IF(AND('Material+Limits'!$Q$22=TRUE,Daten!J329=1)=TRUE,1,0)</f>
        <v>0</v>
      </c>
      <c r="J329" s="155">
        <f>IF(Daten!$U329=13,1,0)</f>
        <v>1</v>
      </c>
      <c r="K329" s="156">
        <f>IF(Daten!$U329&lt;&gt;Daten!$V329,1,IF(Daten!$U329=14,1,0))</f>
        <v>1</v>
      </c>
      <c r="L329" s="156">
        <f>IF(Daten!$U329&lt;&gt;Daten!$V329,1,IF(Daten!$U329=16,1,0))</f>
        <v>1</v>
      </c>
      <c r="M329" s="156">
        <f>IF(Daten!$V329=17,1,0)</f>
        <v>1</v>
      </c>
      <c r="N329" s="157">
        <f ca="1">IF(Daten!$W329=Sprache!$A$60,1,0)</f>
        <v>0</v>
      </c>
      <c r="O329" s="169">
        <f>IF(AND(Daten!$AK329&lt;=KINVARO!$AW$3,Daten!$AL329&gt;=KINVARO!$AW$3)=TRUE,1,0)</f>
        <v>1</v>
      </c>
      <c r="P329" s="170">
        <f>IF(AND(Daten!$Z329&lt;=KINVARO!$AW$4,Daten!$AA329&gt;=KINVARO!$AW$4)=TRUE,1,0)</f>
        <v>0</v>
      </c>
      <c r="Q329" s="170"/>
      <c r="R329" s="170">
        <f>IF(AND(Daten!$AC329&lt;='Material+Limits'!$I$58,Daten!$AD329&gt;='Material+Limits'!$I$58)=TRUE,1,0)</f>
        <v>1</v>
      </c>
      <c r="S329" s="29">
        <f ca="1">IF(Daten!$X329=Sprache!$A$125,1,0)</f>
        <v>1</v>
      </c>
      <c r="T329" s="28" t="str">
        <f ca="1">Sprache!$A$59</f>
        <v>Podnośnik S-35</v>
      </c>
      <c r="U329" s="32">
        <v>13</v>
      </c>
      <c r="V329" s="29">
        <v>17</v>
      </c>
      <c r="W329" s="30">
        <f ca="1">Sprache!$A$132</f>
        <v>0</v>
      </c>
      <c r="X329" s="30">
        <f ca="1">Sprache!$A$126</f>
        <v>0</v>
      </c>
      <c r="Y329" s="30" t="str">
        <f ca="1">Sprache!$A$69</f>
        <v>Front</v>
      </c>
      <c r="Z329" s="30">
        <v>420</v>
      </c>
      <c r="AA329" s="28">
        <v>449</v>
      </c>
      <c r="AB329" s="30"/>
      <c r="AC329" s="31">
        <v>5</v>
      </c>
      <c r="AD329" s="53">
        <v>11</v>
      </c>
      <c r="AE329" s="30" t="s">
        <v>815</v>
      </c>
      <c r="AF329" s="30" t="str">
        <f ca="1">Sprache!$A$101</f>
        <v>Zestaw (prawy+lewy)</v>
      </c>
      <c r="AG329" s="30" t="s">
        <v>26</v>
      </c>
      <c r="AH329" s="30" t="str">
        <f ca="1">Sprache!$A$111</f>
        <v>Siłownik B</v>
      </c>
      <c r="AI329" s="30" t="str">
        <f ca="1">Sprache!$A$137</f>
        <v>Adapter do ram aluminiowych, do Kinvaro S-35 zest.</v>
      </c>
      <c r="AJ329" s="243" t="s">
        <v>819</v>
      </c>
      <c r="AK329" s="30">
        <v>450</v>
      </c>
      <c r="AL329" s="28">
        <v>1200</v>
      </c>
      <c r="AM329" s="30"/>
      <c r="AN329" s="28"/>
    </row>
    <row r="330" spans="1:48" x14ac:dyDescent="0.25">
      <c r="A330" t="str">
        <f t="shared" ca="1" si="11"/>
        <v/>
      </c>
      <c r="B330" t="str">
        <f t="shared" ca="1" si="10"/>
        <v/>
      </c>
      <c r="C330" s="79">
        <f>IF('Material+Limits'!$P$5=TRUE,1,0)</f>
        <v>0</v>
      </c>
      <c r="D330" s="39">
        <f>IF(Daten!$O330+Daten!$P330+Daten!$R330=3,1,0)</f>
        <v>0</v>
      </c>
      <c r="E330" s="184">
        <f ca="1">IF(AND('Material+Limits'!$Q$21=TRUE,Daten!N330=1)=TRUE,1,0)</f>
        <v>1</v>
      </c>
      <c r="F330" s="185">
        <f ca="1">IF(AND('Material+Limits'!$Q$25=TRUE,Daten!M330=1)=TRUE,1,0)</f>
        <v>0</v>
      </c>
      <c r="G330" s="185">
        <f ca="1">IF(AND('Material+Limits'!$Q$24=TRUE,Daten!L330=1)=TRUE,1,0)</f>
        <v>0</v>
      </c>
      <c r="H330" s="185">
        <f ca="1">IF(AND('Material+Limits'!$Q$23=TRUE,Daten!K330=1)=TRUE,1,0)</f>
        <v>0</v>
      </c>
      <c r="I330" s="185">
        <f ca="1">IF(AND('Material+Limits'!$Q$22=TRUE,Daten!J330=1)=TRUE,1,0)</f>
        <v>0</v>
      </c>
      <c r="J330" s="158">
        <f ca="1">IF(Daten!$U330=13,1,0)</f>
        <v>0</v>
      </c>
      <c r="K330" s="159">
        <f ca="1">IF(Daten!$U330&lt;&gt;Daten!$V330,1,IF(Daten!$U330=14,1,0))</f>
        <v>0</v>
      </c>
      <c r="L330" s="159">
        <f ca="1">IF(Daten!$U330&lt;&gt;Daten!$V330,1,IF(Daten!$U330=16,1,0))</f>
        <v>0</v>
      </c>
      <c r="M330" s="159">
        <f ca="1">IF(Daten!$V330=17,1,0)</f>
        <v>0</v>
      </c>
      <c r="N330" s="160">
        <f ca="1">IF(Daten!$W330=Sprache!$A$60,1,0)</f>
        <v>1</v>
      </c>
      <c r="O330" s="173">
        <f>IF(AND(Daten!$AK330&lt;=KINVARO!$AW$3,Daten!$AL330&gt;=KINVARO!$AW$3)=TRUE,1,0)</f>
        <v>1</v>
      </c>
      <c r="P330" s="174">
        <f>IF(AND(Daten!$Z330&lt;=KINVARO!$AW$4,Daten!$AA330&gt;=KINVARO!$AW$4)=TRUE,1,0)</f>
        <v>0</v>
      </c>
      <c r="Q330" s="174"/>
      <c r="R330" s="174">
        <f>IF(AND(Daten!$AC330&lt;='Material+Limits'!$I$58,Daten!$AD330&gt;='Material+Limits'!$I$58)=TRUE,1,0)</f>
        <v>1</v>
      </c>
      <c r="S330" s="38">
        <f ca="1">IF(Daten!$X330=Sprache!$A$125,1,0)</f>
        <v>1</v>
      </c>
      <c r="T330" s="57" t="str">
        <f ca="1">Sprache!$A$59</f>
        <v>Podnośnik S-35</v>
      </c>
      <c r="U330" s="55">
        <f ca="1">Sprache!$A$64</f>
        <v>0</v>
      </c>
      <c r="V330" s="38">
        <f ca="1">Sprache!$A$64</f>
        <v>0</v>
      </c>
      <c r="W330" s="56" t="str">
        <f ca="1">Sprache!$A$60</f>
        <v>Front lity (drewno/płyta)</v>
      </c>
      <c r="X330" s="25">
        <f ca="1">Sprache!$A$126</f>
        <v>0</v>
      </c>
      <c r="Y330" s="56" t="str">
        <f ca="1">Sprache!$A$69</f>
        <v>Front</v>
      </c>
      <c r="Z330" s="56">
        <v>450</v>
      </c>
      <c r="AA330" s="57">
        <v>479</v>
      </c>
      <c r="AB330" s="56"/>
      <c r="AC330" s="58">
        <v>1.8</v>
      </c>
      <c r="AD330" s="59">
        <v>7.5</v>
      </c>
      <c r="AE330" s="56" t="s">
        <v>814</v>
      </c>
      <c r="AF330" s="56" t="str">
        <f ca="1">Sprache!$A$101</f>
        <v>Zestaw (prawy+lewy)</v>
      </c>
      <c r="AG330" s="56" t="s">
        <v>26</v>
      </c>
      <c r="AH330" s="56" t="str">
        <f ca="1">Sprache!$A$110</f>
        <v>Siłownik A</v>
      </c>
      <c r="AI330" s="56" t="s">
        <v>26</v>
      </c>
      <c r="AJ330" s="56" t="s">
        <v>26</v>
      </c>
      <c r="AK330" s="56">
        <v>450</v>
      </c>
      <c r="AL330" s="57">
        <v>1200</v>
      </c>
      <c r="AM330" s="30"/>
      <c r="AN330" s="24"/>
      <c r="AO330"/>
      <c r="AR330"/>
      <c r="AS330"/>
      <c r="AT330"/>
      <c r="AU330"/>
      <c r="AV330"/>
    </row>
    <row r="331" spans="1:48" x14ac:dyDescent="0.25">
      <c r="A331" t="str">
        <f t="shared" ca="1" si="11"/>
        <v/>
      </c>
      <c r="B331" t="str">
        <f t="shared" ca="1" si="10"/>
        <v/>
      </c>
      <c r="C331" s="79">
        <f>IF('Material+Limits'!$P$5=TRUE,1,0)</f>
        <v>0</v>
      </c>
      <c r="D331" s="39">
        <f>IF(Daten!$O331+Daten!$P331+Daten!$R331=3,1,0)</f>
        <v>0</v>
      </c>
      <c r="E331" s="184">
        <f ca="1">IF(AND('Material+Limits'!$Q$21=TRUE,Daten!N331=1)=TRUE,1,0)</f>
        <v>1</v>
      </c>
      <c r="F331" s="185">
        <f ca="1">IF(AND('Material+Limits'!$Q$25=TRUE,Daten!M331=1)=TRUE,1,0)</f>
        <v>0</v>
      </c>
      <c r="G331" s="185">
        <f ca="1">IF(AND('Material+Limits'!$Q$24=TRUE,Daten!L331=1)=TRUE,1,0)</f>
        <v>0</v>
      </c>
      <c r="H331" s="185">
        <f ca="1">IF(AND('Material+Limits'!$Q$23=TRUE,Daten!K331=1)=TRUE,1,0)</f>
        <v>0</v>
      </c>
      <c r="I331" s="185">
        <f ca="1">IF(AND('Material+Limits'!$Q$22=TRUE,Daten!J331=1)=TRUE,1,0)</f>
        <v>0</v>
      </c>
      <c r="J331" s="155">
        <f ca="1">IF(Daten!$U331=13,1,0)</f>
        <v>0</v>
      </c>
      <c r="K331" s="156">
        <f ca="1">IF(Daten!$U331&lt;&gt;Daten!$V331,1,IF(Daten!$U331=14,1,0))</f>
        <v>0</v>
      </c>
      <c r="L331" s="156">
        <f ca="1">IF(Daten!$U331&lt;&gt;Daten!$V331,1,IF(Daten!$U331=16,1,0))</f>
        <v>0</v>
      </c>
      <c r="M331" s="156">
        <f ca="1">IF(Daten!$V331=17,1,0)</f>
        <v>0</v>
      </c>
      <c r="N331" s="157">
        <f ca="1">IF(Daten!$W331=Sprache!$A$60,1,0)</f>
        <v>1</v>
      </c>
      <c r="O331" s="169">
        <f>IF(AND(Daten!$AK331&lt;=KINVARO!$AW$3,Daten!$AL331&gt;=KINVARO!$AW$3)=TRUE,1,0)</f>
        <v>1</v>
      </c>
      <c r="P331" s="170">
        <f>IF(AND(Daten!$Z331&lt;=KINVARO!$AW$4,Daten!$AA331&gt;=KINVARO!$AW$4)=TRUE,1,0)</f>
        <v>0</v>
      </c>
      <c r="R331" s="170">
        <f>IF(AND(Daten!$AC331&lt;='Material+Limits'!$I$58,Daten!$AD331&gt;='Material+Limits'!$I$58)=TRUE,1,0)</f>
        <v>1</v>
      </c>
      <c r="S331" s="29">
        <f ca="1">IF(Daten!$X331=Sprache!$A$125,1,0)</f>
        <v>1</v>
      </c>
      <c r="T331" s="28" t="str">
        <f ca="1">Sprache!$A$59</f>
        <v>Podnośnik S-35</v>
      </c>
      <c r="U331" s="32">
        <f ca="1">Sprache!$A$64</f>
        <v>0</v>
      </c>
      <c r="V331" s="29">
        <f ca="1">Sprache!$A$64</f>
        <v>0</v>
      </c>
      <c r="W331" s="30" t="str">
        <f ca="1">Sprache!$A$60</f>
        <v>Front lity (drewno/płyta)</v>
      </c>
      <c r="X331" s="30">
        <f ca="1">Sprache!$A$126</f>
        <v>0</v>
      </c>
      <c r="Y331" s="30" t="str">
        <f ca="1">Sprache!$A$69</f>
        <v>Front</v>
      </c>
      <c r="Z331" s="30">
        <v>450</v>
      </c>
      <c r="AA331" s="28">
        <v>479</v>
      </c>
      <c r="AB331" s="30"/>
      <c r="AC331" s="31">
        <v>5</v>
      </c>
      <c r="AD331" s="53">
        <v>12</v>
      </c>
      <c r="AE331" s="30" t="s">
        <v>815</v>
      </c>
      <c r="AF331" s="30" t="str">
        <f ca="1">Sprache!$A$101</f>
        <v>Zestaw (prawy+lewy)</v>
      </c>
      <c r="AG331" s="30" t="s">
        <v>26</v>
      </c>
      <c r="AH331" s="30" t="str">
        <f ca="1">Sprache!$A$111</f>
        <v>Siłownik B</v>
      </c>
      <c r="AI331" s="30" t="s">
        <v>26</v>
      </c>
      <c r="AJ331" s="30" t="s">
        <v>26</v>
      </c>
      <c r="AK331" s="30">
        <v>450</v>
      </c>
      <c r="AL331" s="28">
        <v>1200</v>
      </c>
      <c r="AM331" s="30"/>
      <c r="AN331" s="28"/>
      <c r="AO331"/>
      <c r="AR331"/>
      <c r="AS331"/>
      <c r="AT331"/>
      <c r="AU331"/>
      <c r="AV331"/>
    </row>
    <row r="332" spans="1:48" x14ac:dyDescent="0.25">
      <c r="A332" t="str">
        <f t="shared" ca="1" si="11"/>
        <v/>
      </c>
      <c r="B332" t="str">
        <f t="shared" ca="1" si="10"/>
        <v/>
      </c>
      <c r="C332" s="79">
        <f>IF('Material+Limits'!$P$5=TRUE,1,0)</f>
        <v>0</v>
      </c>
      <c r="D332" s="39">
        <f>IF(Daten!$O332+Daten!$P332+Daten!$R332=3,1,0)</f>
        <v>0</v>
      </c>
      <c r="E332" s="184">
        <f ca="1">IF(AND('Material+Limits'!$Q$21=TRUE,Daten!N332=1)=TRUE,1,0)</f>
        <v>0</v>
      </c>
      <c r="F332" s="185">
        <f>IF(AND('Material+Limits'!$Q$25=TRUE,Daten!M332=1)=TRUE,1,0)</f>
        <v>0</v>
      </c>
      <c r="G332" s="185">
        <f>IF(AND('Material+Limits'!$Q$24=TRUE,Daten!L332=1)=TRUE,1,0)</f>
        <v>0</v>
      </c>
      <c r="H332" s="185">
        <f>IF(AND('Material+Limits'!$Q$23=TRUE,Daten!K332=1)=TRUE,1,0)</f>
        <v>0</v>
      </c>
      <c r="I332" s="185">
        <f>IF(AND('Material+Limits'!$Q$22=TRUE,Daten!J332=1)=TRUE,1,0)</f>
        <v>0</v>
      </c>
      <c r="J332" s="158">
        <f>IF(Daten!$U332=13,1,0)</f>
        <v>1</v>
      </c>
      <c r="K332" s="159">
        <f>IF(Daten!$U332&lt;&gt;Daten!$V332,1,IF(Daten!$U332=14,1,0))</f>
        <v>1</v>
      </c>
      <c r="L332" s="159">
        <f>IF(Daten!$U332&lt;&gt;Daten!$V332,1,IF(Daten!$U332=16,1,0))</f>
        <v>1</v>
      </c>
      <c r="M332" s="159">
        <f>IF(Daten!$V332=17,1,0)</f>
        <v>1</v>
      </c>
      <c r="N332" s="160">
        <f ca="1">IF(Daten!$W332=Sprache!$A$60,1,0)</f>
        <v>0</v>
      </c>
      <c r="O332" s="171">
        <f>IF(AND(Daten!$AK332&lt;=KINVARO!$AW$3,Daten!$AL332&gt;=KINVARO!$AW$3)=TRUE,1,0)</f>
        <v>1</v>
      </c>
      <c r="P332" s="172">
        <f>IF(AND(Daten!$Z332&lt;=KINVARO!$AW$4,Daten!$AA332&gt;=KINVARO!$AW$4)=TRUE,1,0)</f>
        <v>0</v>
      </c>
      <c r="Q332" s="172"/>
      <c r="R332" s="172">
        <f>IF(AND(Daten!$AC332&lt;='Material+Limits'!$I$58,Daten!$AD332&gt;='Material+Limits'!$I$58)=TRUE,1,0)</f>
        <v>1</v>
      </c>
      <c r="S332" s="23">
        <f ca="1">IF(Daten!$X332=Sprache!$A$125,1,0)</f>
        <v>1</v>
      </c>
      <c r="T332" s="24" t="str">
        <f ca="1">Sprache!$A$59</f>
        <v>Podnośnik S-35</v>
      </c>
      <c r="U332" s="27">
        <v>13</v>
      </c>
      <c r="V332" s="23">
        <v>17</v>
      </c>
      <c r="W332" s="25">
        <f ca="1">Sprache!$A$132</f>
        <v>0</v>
      </c>
      <c r="X332" s="25">
        <f ca="1">Sprache!$A$126</f>
        <v>0</v>
      </c>
      <c r="Y332" s="25" t="str">
        <f ca="1">Sprache!$A$69</f>
        <v>Front</v>
      </c>
      <c r="Z332" s="25">
        <v>450</v>
      </c>
      <c r="AA332" s="24">
        <v>479</v>
      </c>
      <c r="AB332" s="25"/>
      <c r="AC332" s="26">
        <v>1.8</v>
      </c>
      <c r="AD332" s="54">
        <v>7.5</v>
      </c>
      <c r="AE332" s="25" t="s">
        <v>814</v>
      </c>
      <c r="AF332" s="25" t="str">
        <f ca="1">Sprache!$A$101</f>
        <v>Zestaw (prawy+lewy)</v>
      </c>
      <c r="AG332" s="25" t="s">
        <v>26</v>
      </c>
      <c r="AH332" s="25" t="str">
        <f ca="1">Sprache!$A$110</f>
        <v>Siłownik A</v>
      </c>
      <c r="AI332" s="25" t="str">
        <f ca="1">Sprache!$A$137</f>
        <v>Adapter do ram aluminiowych, do Kinvaro S-35 zest.</v>
      </c>
      <c r="AJ332" s="242" t="s">
        <v>819</v>
      </c>
      <c r="AK332" s="25">
        <v>450</v>
      </c>
      <c r="AL332" s="24">
        <v>1200</v>
      </c>
      <c r="AM332" s="30"/>
      <c r="AN332" s="24"/>
      <c r="AO332"/>
      <c r="AR332"/>
      <c r="AS332"/>
      <c r="AT332"/>
      <c r="AU332"/>
      <c r="AV332"/>
    </row>
    <row r="333" spans="1:48" s="5" customFormat="1" x14ac:dyDescent="0.25">
      <c r="A333" t="str">
        <f t="shared" ca="1" si="11"/>
        <v/>
      </c>
      <c r="B333" t="str">
        <f t="shared" ca="1" si="10"/>
        <v/>
      </c>
      <c r="C333" s="79">
        <f>IF('Material+Limits'!$P$5=TRUE,1,0)</f>
        <v>0</v>
      </c>
      <c r="D333" s="39">
        <f>IF(Daten!$O333+Daten!$P333+Daten!$R333=3,1,0)</f>
        <v>0</v>
      </c>
      <c r="E333" s="184">
        <f ca="1">IF(AND('Material+Limits'!$Q$21=TRUE,Daten!N333=1)=TRUE,1,0)</f>
        <v>0</v>
      </c>
      <c r="F333" s="185">
        <f>IF(AND('Material+Limits'!$Q$25=TRUE,Daten!M333=1)=TRUE,1,0)</f>
        <v>0</v>
      </c>
      <c r="G333" s="185">
        <f>IF(AND('Material+Limits'!$Q$24=TRUE,Daten!L333=1)=TRUE,1,0)</f>
        <v>0</v>
      </c>
      <c r="H333" s="185">
        <f>IF(AND('Material+Limits'!$Q$23=TRUE,Daten!K333=1)=TRUE,1,0)</f>
        <v>0</v>
      </c>
      <c r="I333" s="185">
        <f>IF(AND('Material+Limits'!$Q$22=TRUE,Daten!J333=1)=TRUE,1,0)</f>
        <v>0</v>
      </c>
      <c r="J333" s="155">
        <f>IF(Daten!$U333=13,1,0)</f>
        <v>1</v>
      </c>
      <c r="K333" s="156">
        <f>IF(Daten!$U333&lt;&gt;Daten!$V333,1,IF(Daten!$U333=14,1,0))</f>
        <v>1</v>
      </c>
      <c r="L333" s="156">
        <f>IF(Daten!$U333&lt;&gt;Daten!$V333,1,IF(Daten!$U333=16,1,0))</f>
        <v>1</v>
      </c>
      <c r="M333" s="156">
        <f>IF(Daten!$V333=17,1,0)</f>
        <v>1</v>
      </c>
      <c r="N333" s="157">
        <f ca="1">IF(Daten!$W333=Sprache!$A$60,1,0)</f>
        <v>0</v>
      </c>
      <c r="O333" s="169">
        <f>IF(AND(Daten!$AK333&lt;=KINVARO!$AW$3,Daten!$AL333&gt;=KINVARO!$AW$3)=TRUE,1,0)</f>
        <v>1</v>
      </c>
      <c r="P333" s="170">
        <f>IF(AND(Daten!$Z333&lt;=KINVARO!$AW$4,Daten!$AA333&gt;=KINVARO!$AW$4)=TRUE,1,0)</f>
        <v>0</v>
      </c>
      <c r="Q333" s="170"/>
      <c r="R333" s="170">
        <f>IF(AND(Daten!$AC333&lt;='Material+Limits'!$I$58,Daten!$AD333&gt;='Material+Limits'!$I$58)=TRUE,1,0)</f>
        <v>1</v>
      </c>
      <c r="S333" s="29">
        <f ca="1">IF(Daten!$X333=Sprache!$A$125,1,0)</f>
        <v>1</v>
      </c>
      <c r="T333" s="28" t="str">
        <f ca="1">Sprache!$A$59</f>
        <v>Podnośnik S-35</v>
      </c>
      <c r="U333" s="32">
        <v>13</v>
      </c>
      <c r="V333" s="29">
        <v>17</v>
      </c>
      <c r="W333" s="30">
        <f ca="1">Sprache!$A$132</f>
        <v>0</v>
      </c>
      <c r="X333" s="30">
        <f ca="1">Sprache!$A$126</f>
        <v>0</v>
      </c>
      <c r="Y333" s="30" t="str">
        <f ca="1">Sprache!$A$69</f>
        <v>Front</v>
      </c>
      <c r="Z333" s="30">
        <v>450</v>
      </c>
      <c r="AA333" s="28">
        <v>479</v>
      </c>
      <c r="AB333" s="30"/>
      <c r="AC333" s="31">
        <v>5</v>
      </c>
      <c r="AD333" s="53">
        <v>12</v>
      </c>
      <c r="AE333" s="30" t="s">
        <v>815</v>
      </c>
      <c r="AF333" s="30" t="str">
        <f ca="1">Sprache!$A$101</f>
        <v>Zestaw (prawy+lewy)</v>
      </c>
      <c r="AG333" s="30" t="s">
        <v>26</v>
      </c>
      <c r="AH333" s="30" t="str">
        <f ca="1">Sprache!$A$111</f>
        <v>Siłownik B</v>
      </c>
      <c r="AI333" s="30" t="str">
        <f ca="1">Sprache!$A$137</f>
        <v>Adapter do ram aluminiowych, do Kinvaro S-35 zest.</v>
      </c>
      <c r="AJ333" s="243" t="s">
        <v>819</v>
      </c>
      <c r="AK333" s="30">
        <v>450</v>
      </c>
      <c r="AL333" s="28">
        <v>1200</v>
      </c>
      <c r="AM333" s="30"/>
      <c r="AN333" s="28"/>
    </row>
    <row r="334" spans="1:48" x14ac:dyDescent="0.25">
      <c r="A334" t="str">
        <f t="shared" ca="1" si="11"/>
        <v/>
      </c>
      <c r="B334" t="str">
        <f t="shared" ca="1" si="10"/>
        <v/>
      </c>
      <c r="C334" s="79">
        <f>IF('Material+Limits'!$P$5=TRUE,1,0)</f>
        <v>0</v>
      </c>
      <c r="D334" s="39">
        <f>IF(Daten!$O334+Daten!$P334+Daten!$R334=3,1,0)</f>
        <v>0</v>
      </c>
      <c r="E334" s="184">
        <f ca="1">IF(AND('Material+Limits'!$Q$21=TRUE,Daten!N334=1)=TRUE,1,0)</f>
        <v>1</v>
      </c>
      <c r="F334" s="185">
        <f ca="1">IF(AND('Material+Limits'!$Q$25=TRUE,Daten!M334=1)=TRUE,1,0)</f>
        <v>0</v>
      </c>
      <c r="G334" s="185">
        <f ca="1">IF(AND('Material+Limits'!$Q$24=TRUE,Daten!L334=1)=TRUE,1,0)</f>
        <v>0</v>
      </c>
      <c r="H334" s="185">
        <f ca="1">IF(AND('Material+Limits'!$Q$23=TRUE,Daten!K334=1)=TRUE,1,0)</f>
        <v>0</v>
      </c>
      <c r="I334" s="185">
        <f ca="1">IF(AND('Material+Limits'!$Q$22=TRUE,Daten!J334=1)=TRUE,1,0)</f>
        <v>0</v>
      </c>
      <c r="J334" s="158">
        <f ca="1">IF(Daten!$U334=13,1,0)</f>
        <v>0</v>
      </c>
      <c r="K334" s="159">
        <f ca="1">IF(Daten!$U334&lt;&gt;Daten!$V334,1,IF(Daten!$U334=14,1,0))</f>
        <v>0</v>
      </c>
      <c r="L334" s="159">
        <f ca="1">IF(Daten!$U334&lt;&gt;Daten!$V334,1,IF(Daten!$U334=16,1,0))</f>
        <v>0</v>
      </c>
      <c r="M334" s="159">
        <f ca="1">IF(Daten!$V334=17,1,0)</f>
        <v>0</v>
      </c>
      <c r="N334" s="160">
        <f ca="1">IF(Daten!$W334=Sprache!$A$60,1,0)</f>
        <v>1</v>
      </c>
      <c r="O334" s="173">
        <f>IF(AND(Daten!$AK334&lt;=KINVARO!$AW$3,Daten!$AL334&gt;=KINVARO!$AW$3)=TRUE,1,0)</f>
        <v>1</v>
      </c>
      <c r="P334" s="174">
        <f>IF(AND(Daten!$Z334&lt;=KINVARO!$AW$4,Daten!$AA334&gt;=KINVARO!$AW$4)=TRUE,1,0)</f>
        <v>0</v>
      </c>
      <c r="Q334" s="174"/>
      <c r="R334" s="174">
        <f>IF(AND(Daten!$AC334&lt;='Material+Limits'!$I$58,Daten!$AD334&gt;='Material+Limits'!$I$58)=TRUE,1,0)</f>
        <v>1</v>
      </c>
      <c r="S334" s="38">
        <f ca="1">IF(Daten!$X334=Sprache!$A$125,1,0)</f>
        <v>1</v>
      </c>
      <c r="T334" s="57" t="str">
        <f ca="1">Sprache!$A$59</f>
        <v>Podnośnik S-35</v>
      </c>
      <c r="U334" s="55">
        <f ca="1">Sprache!$A$64</f>
        <v>0</v>
      </c>
      <c r="V334" s="38">
        <f ca="1">Sprache!$A$64</f>
        <v>0</v>
      </c>
      <c r="W334" s="56" t="str">
        <f ca="1">Sprache!$A$60</f>
        <v>Front lity (drewno/płyta)</v>
      </c>
      <c r="X334" s="25">
        <f ca="1">Sprache!$A$126</f>
        <v>0</v>
      </c>
      <c r="Y334" s="56" t="str">
        <f ca="1">Sprache!$A$69</f>
        <v>Front</v>
      </c>
      <c r="Z334" s="56">
        <v>480</v>
      </c>
      <c r="AA334" s="57">
        <v>509</v>
      </c>
      <c r="AB334" s="56"/>
      <c r="AC334" s="58">
        <v>1.8</v>
      </c>
      <c r="AD334" s="59">
        <v>6.5</v>
      </c>
      <c r="AE334" s="56" t="s">
        <v>814</v>
      </c>
      <c r="AF334" s="56" t="str">
        <f ca="1">Sprache!$A$101</f>
        <v>Zestaw (prawy+lewy)</v>
      </c>
      <c r="AG334" s="56" t="s">
        <v>26</v>
      </c>
      <c r="AH334" s="56" t="str">
        <f ca="1">Sprache!$A$110</f>
        <v>Siłownik A</v>
      </c>
      <c r="AI334" s="56" t="s">
        <v>26</v>
      </c>
      <c r="AJ334" s="56" t="s">
        <v>26</v>
      </c>
      <c r="AK334" s="56">
        <v>450</v>
      </c>
      <c r="AL334" s="57">
        <v>1200</v>
      </c>
      <c r="AM334" s="30"/>
      <c r="AN334" s="24"/>
      <c r="AO334"/>
      <c r="AR334"/>
      <c r="AS334"/>
      <c r="AT334"/>
      <c r="AU334"/>
      <c r="AV334"/>
    </row>
    <row r="335" spans="1:48" x14ac:dyDescent="0.25">
      <c r="A335" t="str">
        <f t="shared" ca="1" si="11"/>
        <v/>
      </c>
      <c r="B335" t="str">
        <f t="shared" ca="1" si="10"/>
        <v/>
      </c>
      <c r="C335" s="79">
        <f>IF('Material+Limits'!$P$5=TRUE,1,0)</f>
        <v>0</v>
      </c>
      <c r="D335" s="39">
        <f>IF(Daten!$O335+Daten!$P335+Daten!$R335=3,1,0)</f>
        <v>0</v>
      </c>
      <c r="E335" s="184">
        <f ca="1">IF(AND('Material+Limits'!$Q$21=TRUE,Daten!N335=1)=TRUE,1,0)</f>
        <v>1</v>
      </c>
      <c r="F335" s="185">
        <f ca="1">IF(AND('Material+Limits'!$Q$25=TRUE,Daten!M335=1)=TRUE,1,0)</f>
        <v>0</v>
      </c>
      <c r="G335" s="185">
        <f ca="1">IF(AND('Material+Limits'!$Q$24=TRUE,Daten!L335=1)=TRUE,1,0)</f>
        <v>0</v>
      </c>
      <c r="H335" s="185">
        <f ca="1">IF(AND('Material+Limits'!$Q$23=TRUE,Daten!K335=1)=TRUE,1,0)</f>
        <v>0</v>
      </c>
      <c r="I335" s="185">
        <f ca="1">IF(AND('Material+Limits'!$Q$22=TRUE,Daten!J335=1)=TRUE,1,0)</f>
        <v>0</v>
      </c>
      <c r="J335" s="155">
        <f ca="1">IF(Daten!$U335=13,1,0)</f>
        <v>0</v>
      </c>
      <c r="K335" s="156">
        <f ca="1">IF(Daten!$U335&lt;&gt;Daten!$V335,1,IF(Daten!$U335=14,1,0))</f>
        <v>0</v>
      </c>
      <c r="L335" s="156">
        <f ca="1">IF(Daten!$U335&lt;&gt;Daten!$V335,1,IF(Daten!$U335=16,1,0))</f>
        <v>0</v>
      </c>
      <c r="M335" s="156">
        <f ca="1">IF(Daten!$V335=17,1,0)</f>
        <v>0</v>
      </c>
      <c r="N335" s="157">
        <f ca="1">IF(Daten!$W335=Sprache!$A$60,1,0)</f>
        <v>1</v>
      </c>
      <c r="O335" s="169">
        <f>IF(AND(Daten!$AK335&lt;=KINVARO!$AW$3,Daten!$AL335&gt;=KINVARO!$AW$3)=TRUE,1,0)</f>
        <v>1</v>
      </c>
      <c r="P335" s="170">
        <f>IF(AND(Daten!$Z335&lt;=KINVARO!$AW$4,Daten!$AA335&gt;=KINVARO!$AW$4)=TRUE,1,0)</f>
        <v>0</v>
      </c>
      <c r="R335" s="170">
        <f>IF(AND(Daten!$AC335&lt;='Material+Limits'!$I$58,Daten!$AD335&gt;='Material+Limits'!$I$58)=TRUE,1,0)</f>
        <v>1</v>
      </c>
      <c r="S335" s="29">
        <f ca="1">IF(Daten!$X335=Sprache!$A$125,1,0)</f>
        <v>1</v>
      </c>
      <c r="T335" s="28" t="str">
        <f ca="1">Sprache!$A$59</f>
        <v>Podnośnik S-35</v>
      </c>
      <c r="U335" s="32">
        <f ca="1">Sprache!$A$64</f>
        <v>0</v>
      </c>
      <c r="V335" s="29">
        <f ca="1">Sprache!$A$64</f>
        <v>0</v>
      </c>
      <c r="W335" s="30" t="str">
        <f ca="1">Sprache!$A$60</f>
        <v>Front lity (drewno/płyta)</v>
      </c>
      <c r="X335" s="30">
        <f ca="1">Sprache!$A$126</f>
        <v>0</v>
      </c>
      <c r="Y335" s="30" t="str">
        <f ca="1">Sprache!$A$69</f>
        <v>Front</v>
      </c>
      <c r="Z335" s="30">
        <v>480</v>
      </c>
      <c r="AA335" s="28">
        <v>509</v>
      </c>
      <c r="AB335" s="30"/>
      <c r="AC335" s="31">
        <v>5</v>
      </c>
      <c r="AD335" s="53">
        <v>12.5</v>
      </c>
      <c r="AE335" s="30" t="s">
        <v>815</v>
      </c>
      <c r="AF335" s="30" t="str">
        <f ca="1">Sprache!$A$101</f>
        <v>Zestaw (prawy+lewy)</v>
      </c>
      <c r="AG335" s="30" t="s">
        <v>26</v>
      </c>
      <c r="AH335" s="30" t="str">
        <f ca="1">Sprache!$A$111</f>
        <v>Siłownik B</v>
      </c>
      <c r="AI335" s="30" t="s">
        <v>26</v>
      </c>
      <c r="AJ335" s="30" t="s">
        <v>26</v>
      </c>
      <c r="AK335" s="30">
        <v>450</v>
      </c>
      <c r="AL335" s="28">
        <v>1200</v>
      </c>
      <c r="AM335" s="30"/>
      <c r="AN335" s="28"/>
      <c r="AO335"/>
      <c r="AR335"/>
      <c r="AS335"/>
      <c r="AT335"/>
      <c r="AU335"/>
      <c r="AV335"/>
    </row>
    <row r="336" spans="1:48" x14ac:dyDescent="0.25">
      <c r="A336" t="str">
        <f t="shared" ca="1" si="11"/>
        <v/>
      </c>
      <c r="B336" t="str">
        <f t="shared" ca="1" si="10"/>
        <v/>
      </c>
      <c r="C336" s="79">
        <f>IF('Material+Limits'!$P$5=TRUE,1,0)</f>
        <v>0</v>
      </c>
      <c r="D336" s="39">
        <f>IF(Daten!$O336+Daten!$P336+Daten!$R336=3,1,0)</f>
        <v>0</v>
      </c>
      <c r="E336" s="184">
        <f ca="1">IF(AND('Material+Limits'!$Q$21=TRUE,Daten!N336=1)=TRUE,1,0)</f>
        <v>0</v>
      </c>
      <c r="F336" s="185">
        <f>IF(AND('Material+Limits'!$Q$25=TRUE,Daten!M336=1)=TRUE,1,0)</f>
        <v>0</v>
      </c>
      <c r="G336" s="185">
        <f>IF(AND('Material+Limits'!$Q$24=TRUE,Daten!L336=1)=TRUE,1,0)</f>
        <v>0</v>
      </c>
      <c r="H336" s="185">
        <f>IF(AND('Material+Limits'!$Q$23=TRUE,Daten!K336=1)=TRUE,1,0)</f>
        <v>0</v>
      </c>
      <c r="I336" s="185">
        <f>IF(AND('Material+Limits'!$Q$22=TRUE,Daten!J336=1)=TRUE,1,0)</f>
        <v>0</v>
      </c>
      <c r="J336" s="158">
        <f>IF(Daten!$U336=13,1,0)</f>
        <v>1</v>
      </c>
      <c r="K336" s="159">
        <f>IF(Daten!$U336&lt;&gt;Daten!$V336,1,IF(Daten!$U336=14,1,0))</f>
        <v>1</v>
      </c>
      <c r="L336" s="159">
        <f>IF(Daten!$U336&lt;&gt;Daten!$V336,1,IF(Daten!$U336=16,1,0))</f>
        <v>1</v>
      </c>
      <c r="M336" s="159">
        <f>IF(Daten!$V336=17,1,0)</f>
        <v>1</v>
      </c>
      <c r="N336" s="160">
        <f ca="1">IF(Daten!$W336=Sprache!$A$60,1,0)</f>
        <v>0</v>
      </c>
      <c r="O336" s="171">
        <f>IF(AND(Daten!$AK336&lt;=KINVARO!$AW$3,Daten!$AL336&gt;=KINVARO!$AW$3)=TRUE,1,0)</f>
        <v>1</v>
      </c>
      <c r="P336" s="172">
        <f>IF(AND(Daten!$Z336&lt;=KINVARO!$AW$4,Daten!$AA336&gt;=KINVARO!$AW$4)=TRUE,1,0)</f>
        <v>0</v>
      </c>
      <c r="Q336" s="172"/>
      <c r="R336" s="172">
        <f>IF(AND(Daten!$AC336&lt;='Material+Limits'!$I$58,Daten!$AD336&gt;='Material+Limits'!$I$58)=TRUE,1,0)</f>
        <v>1</v>
      </c>
      <c r="S336" s="23">
        <f ca="1">IF(Daten!$X336=Sprache!$A$125,1,0)</f>
        <v>1</v>
      </c>
      <c r="T336" s="24" t="str">
        <f ca="1">Sprache!$A$59</f>
        <v>Podnośnik S-35</v>
      </c>
      <c r="U336" s="27">
        <v>13</v>
      </c>
      <c r="V336" s="23">
        <v>17</v>
      </c>
      <c r="W336" s="25">
        <f ca="1">Sprache!$A$132</f>
        <v>0</v>
      </c>
      <c r="X336" s="25">
        <f ca="1">Sprache!$A$126</f>
        <v>0</v>
      </c>
      <c r="Y336" s="25" t="str">
        <f ca="1">Sprache!$A$69</f>
        <v>Front</v>
      </c>
      <c r="Z336" s="25">
        <v>480</v>
      </c>
      <c r="AA336" s="24">
        <v>509</v>
      </c>
      <c r="AB336" s="25"/>
      <c r="AC336" s="26">
        <v>1.8</v>
      </c>
      <c r="AD336" s="54">
        <v>6.5</v>
      </c>
      <c r="AE336" s="25" t="s">
        <v>814</v>
      </c>
      <c r="AF336" s="25" t="str">
        <f ca="1">Sprache!$A$101</f>
        <v>Zestaw (prawy+lewy)</v>
      </c>
      <c r="AG336" s="25" t="s">
        <v>26</v>
      </c>
      <c r="AH336" s="25" t="str">
        <f ca="1">Sprache!$A$110</f>
        <v>Siłownik A</v>
      </c>
      <c r="AI336" s="25" t="str">
        <f ca="1">Sprache!$A$137</f>
        <v>Adapter do ram aluminiowych, do Kinvaro S-35 zest.</v>
      </c>
      <c r="AJ336" s="242" t="s">
        <v>819</v>
      </c>
      <c r="AK336" s="25">
        <v>450</v>
      </c>
      <c r="AL336" s="24">
        <v>1200</v>
      </c>
      <c r="AM336" s="30"/>
      <c r="AN336" s="24"/>
      <c r="AO336"/>
      <c r="AR336"/>
      <c r="AS336"/>
      <c r="AT336"/>
      <c r="AU336"/>
      <c r="AV336"/>
    </row>
    <row r="337" spans="1:48" s="5" customFormat="1" x14ac:dyDescent="0.25">
      <c r="A337" t="str">
        <f t="shared" ca="1" si="11"/>
        <v/>
      </c>
      <c r="B337" t="str">
        <f t="shared" ca="1" si="10"/>
        <v/>
      </c>
      <c r="C337" s="79">
        <f>IF('Material+Limits'!$P$5=TRUE,1,0)</f>
        <v>0</v>
      </c>
      <c r="D337" s="39">
        <f>IF(Daten!$O337+Daten!$P337+Daten!$R337=3,1,0)</f>
        <v>0</v>
      </c>
      <c r="E337" s="184">
        <f ca="1">IF(AND('Material+Limits'!$Q$21=TRUE,Daten!N337=1)=TRUE,1,0)</f>
        <v>0</v>
      </c>
      <c r="F337" s="185">
        <f>IF(AND('Material+Limits'!$Q$25=TRUE,Daten!M337=1)=TRUE,1,0)</f>
        <v>0</v>
      </c>
      <c r="G337" s="185">
        <f>IF(AND('Material+Limits'!$Q$24=TRUE,Daten!L337=1)=TRUE,1,0)</f>
        <v>0</v>
      </c>
      <c r="H337" s="185">
        <f>IF(AND('Material+Limits'!$Q$23=TRUE,Daten!K337=1)=TRUE,1,0)</f>
        <v>0</v>
      </c>
      <c r="I337" s="185">
        <f>IF(AND('Material+Limits'!$Q$22=TRUE,Daten!J337=1)=TRUE,1,0)</f>
        <v>0</v>
      </c>
      <c r="J337" s="155">
        <f>IF(Daten!$U337=13,1,0)</f>
        <v>1</v>
      </c>
      <c r="K337" s="156">
        <f>IF(Daten!$U337&lt;&gt;Daten!$V337,1,IF(Daten!$U337=14,1,0))</f>
        <v>1</v>
      </c>
      <c r="L337" s="156">
        <f>IF(Daten!$U337&lt;&gt;Daten!$V337,1,IF(Daten!$U337=16,1,0))</f>
        <v>1</v>
      </c>
      <c r="M337" s="156">
        <f>IF(Daten!$V337=17,1,0)</f>
        <v>1</v>
      </c>
      <c r="N337" s="157">
        <f ca="1">IF(Daten!$W337=Sprache!$A$60,1,0)</f>
        <v>0</v>
      </c>
      <c r="O337" s="169">
        <f>IF(AND(Daten!$AK337&lt;=KINVARO!$AW$3,Daten!$AL337&gt;=KINVARO!$AW$3)=TRUE,1,0)</f>
        <v>1</v>
      </c>
      <c r="P337" s="170">
        <f>IF(AND(Daten!$Z337&lt;=KINVARO!$AW$4,Daten!$AA337&gt;=KINVARO!$AW$4)=TRUE,1,0)</f>
        <v>0</v>
      </c>
      <c r="Q337" s="170"/>
      <c r="R337" s="170">
        <f>IF(AND(Daten!$AC337&lt;='Material+Limits'!$I$58,Daten!$AD337&gt;='Material+Limits'!$I$58)=TRUE,1,0)</f>
        <v>1</v>
      </c>
      <c r="S337" s="29">
        <f ca="1">IF(Daten!$X337=Sprache!$A$125,1,0)</f>
        <v>1</v>
      </c>
      <c r="T337" s="28" t="str">
        <f ca="1">Sprache!$A$59</f>
        <v>Podnośnik S-35</v>
      </c>
      <c r="U337" s="32">
        <v>13</v>
      </c>
      <c r="V337" s="29">
        <v>17</v>
      </c>
      <c r="W337" s="30">
        <f ca="1">Sprache!$A$132</f>
        <v>0</v>
      </c>
      <c r="X337" s="30">
        <f ca="1">Sprache!$A$126</f>
        <v>0</v>
      </c>
      <c r="Y337" s="30" t="str">
        <f ca="1">Sprache!$A$69</f>
        <v>Front</v>
      </c>
      <c r="Z337" s="30">
        <v>480</v>
      </c>
      <c r="AA337" s="28">
        <v>509</v>
      </c>
      <c r="AB337" s="30"/>
      <c r="AC337" s="31">
        <v>5</v>
      </c>
      <c r="AD337" s="53">
        <v>12.5</v>
      </c>
      <c r="AE337" s="30" t="s">
        <v>815</v>
      </c>
      <c r="AF337" s="30" t="str">
        <f ca="1">Sprache!$A$101</f>
        <v>Zestaw (prawy+lewy)</v>
      </c>
      <c r="AG337" s="30" t="s">
        <v>26</v>
      </c>
      <c r="AH337" s="30" t="str">
        <f ca="1">Sprache!$A$111</f>
        <v>Siłownik B</v>
      </c>
      <c r="AI337" s="30" t="str">
        <f ca="1">Sprache!$A$137</f>
        <v>Adapter do ram aluminiowych, do Kinvaro S-35 zest.</v>
      </c>
      <c r="AJ337" s="243" t="s">
        <v>819</v>
      </c>
      <c r="AK337" s="30">
        <v>450</v>
      </c>
      <c r="AL337" s="28">
        <v>1200</v>
      </c>
      <c r="AM337" s="30"/>
      <c r="AN337" s="28"/>
    </row>
    <row r="338" spans="1:48" x14ac:dyDescent="0.25">
      <c r="A338" t="str">
        <f t="shared" ca="1" si="11"/>
        <v/>
      </c>
      <c r="B338" t="str">
        <f t="shared" ca="1" si="10"/>
        <v/>
      </c>
      <c r="C338" s="79">
        <f>IF('Material+Limits'!$P$5=TRUE,1,0)</f>
        <v>0</v>
      </c>
      <c r="D338" s="39">
        <f>IF(Daten!$O338+Daten!$P338+Daten!$R338=3,1,0)</f>
        <v>0</v>
      </c>
      <c r="E338" s="184">
        <f ca="1">IF(AND('Material+Limits'!$Q$21=TRUE,Daten!N338=1)=TRUE,1,0)</f>
        <v>1</v>
      </c>
      <c r="F338" s="185">
        <f ca="1">IF(AND('Material+Limits'!$Q$25=TRUE,Daten!M338=1)=TRUE,1,0)</f>
        <v>0</v>
      </c>
      <c r="G338" s="185">
        <f ca="1">IF(AND('Material+Limits'!$Q$24=TRUE,Daten!L338=1)=TRUE,1,0)</f>
        <v>0</v>
      </c>
      <c r="H338" s="185">
        <f ca="1">IF(AND('Material+Limits'!$Q$23=TRUE,Daten!K338=1)=TRUE,1,0)</f>
        <v>0</v>
      </c>
      <c r="I338" s="185">
        <f ca="1">IF(AND('Material+Limits'!$Q$22=TRUE,Daten!J338=1)=TRUE,1,0)</f>
        <v>0</v>
      </c>
      <c r="J338" s="158">
        <f ca="1">IF(Daten!$U338=13,1,0)</f>
        <v>0</v>
      </c>
      <c r="K338" s="159">
        <f ca="1">IF(Daten!$U338&lt;&gt;Daten!$V338,1,IF(Daten!$U338=14,1,0))</f>
        <v>0</v>
      </c>
      <c r="L338" s="159">
        <f ca="1">IF(Daten!$U338&lt;&gt;Daten!$V338,1,IF(Daten!$U338=16,1,0))</f>
        <v>0</v>
      </c>
      <c r="M338" s="159">
        <f ca="1">IF(Daten!$V338=17,1,0)</f>
        <v>0</v>
      </c>
      <c r="N338" s="160">
        <f ca="1">IF(Daten!$W338=Sprache!$A$60,1,0)</f>
        <v>1</v>
      </c>
      <c r="O338" s="173">
        <f>IF(AND(Daten!$AK338&lt;=KINVARO!$AW$3,Daten!$AL338&gt;=KINVARO!$AW$3)=TRUE,1,0)</f>
        <v>1</v>
      </c>
      <c r="P338" s="174">
        <f>IF(AND(Daten!$Z338&lt;=KINVARO!$AW$4,Daten!$AA338&gt;=KINVARO!$AW$4)=TRUE,1,0)</f>
        <v>0</v>
      </c>
      <c r="Q338" s="174"/>
      <c r="R338" s="174">
        <f>IF(AND(Daten!$AC338&lt;='Material+Limits'!$I$58,Daten!$AD338&gt;='Material+Limits'!$I$58)=TRUE,1,0)</f>
        <v>0</v>
      </c>
      <c r="S338" s="38">
        <f ca="1">IF(Daten!$X338=Sprache!$A$125,1,0)</f>
        <v>1</v>
      </c>
      <c r="T338" s="57" t="str">
        <f ca="1">Sprache!$A$59</f>
        <v>Podnośnik S-35</v>
      </c>
      <c r="U338" s="55">
        <f ca="1">Sprache!$A$64</f>
        <v>0</v>
      </c>
      <c r="V338" s="38">
        <f ca="1">Sprache!$A$64</f>
        <v>0</v>
      </c>
      <c r="W338" s="56" t="str">
        <f ca="1">Sprache!$A$60</f>
        <v>Front lity (drewno/płyta)</v>
      </c>
      <c r="X338" s="25">
        <f ca="1">Sprache!$A$126</f>
        <v>0</v>
      </c>
      <c r="Y338" s="56" t="str">
        <f ca="1">Sprache!$A$69</f>
        <v>Front</v>
      </c>
      <c r="Z338" s="56">
        <v>510</v>
      </c>
      <c r="AA338" s="57">
        <v>539</v>
      </c>
      <c r="AB338" s="56"/>
      <c r="AC338" s="58">
        <v>2</v>
      </c>
      <c r="AD338" s="59">
        <v>6</v>
      </c>
      <c r="AE338" s="56" t="s">
        <v>814</v>
      </c>
      <c r="AF338" s="56" t="str">
        <f ca="1">Sprache!$A$101</f>
        <v>Zestaw (prawy+lewy)</v>
      </c>
      <c r="AG338" s="56" t="s">
        <v>26</v>
      </c>
      <c r="AH338" s="56" t="str">
        <f ca="1">Sprache!$A$110</f>
        <v>Siłownik A</v>
      </c>
      <c r="AI338" s="56" t="s">
        <v>26</v>
      </c>
      <c r="AJ338" s="56" t="s">
        <v>26</v>
      </c>
      <c r="AK338" s="56">
        <v>450</v>
      </c>
      <c r="AL338" s="57">
        <v>1200</v>
      </c>
      <c r="AM338" s="30"/>
      <c r="AN338" s="24"/>
      <c r="AO338"/>
      <c r="AR338"/>
      <c r="AS338"/>
      <c r="AT338"/>
      <c r="AU338"/>
      <c r="AV338"/>
    </row>
    <row r="339" spans="1:48" x14ac:dyDescent="0.25">
      <c r="A339" t="str">
        <f t="shared" ca="1" si="11"/>
        <v/>
      </c>
      <c r="B339" t="str">
        <f t="shared" ca="1" si="10"/>
        <v/>
      </c>
      <c r="C339" s="79">
        <f>IF('Material+Limits'!$P$5=TRUE,1,0)</f>
        <v>0</v>
      </c>
      <c r="D339" s="39">
        <f>IF(Daten!$O339+Daten!$P339+Daten!$R339=3,1,0)</f>
        <v>0</v>
      </c>
      <c r="E339" s="184">
        <f ca="1">IF(AND('Material+Limits'!$Q$21=TRUE,Daten!N339=1)=TRUE,1,0)</f>
        <v>1</v>
      </c>
      <c r="F339" s="185">
        <f ca="1">IF(AND('Material+Limits'!$Q$25=TRUE,Daten!M339=1)=TRUE,1,0)</f>
        <v>0</v>
      </c>
      <c r="G339" s="185">
        <f ca="1">IF(AND('Material+Limits'!$Q$24=TRUE,Daten!L339=1)=TRUE,1,0)</f>
        <v>0</v>
      </c>
      <c r="H339" s="185">
        <f ca="1">IF(AND('Material+Limits'!$Q$23=TRUE,Daten!K339=1)=TRUE,1,0)</f>
        <v>0</v>
      </c>
      <c r="I339" s="185">
        <f ca="1">IF(AND('Material+Limits'!$Q$22=TRUE,Daten!J339=1)=TRUE,1,0)</f>
        <v>0</v>
      </c>
      <c r="J339" s="155">
        <f ca="1">IF(Daten!$U339=13,1,0)</f>
        <v>0</v>
      </c>
      <c r="K339" s="156">
        <f ca="1">IF(Daten!$U339&lt;&gt;Daten!$V339,1,IF(Daten!$U339=14,1,0))</f>
        <v>0</v>
      </c>
      <c r="L339" s="156">
        <f ca="1">IF(Daten!$U339&lt;&gt;Daten!$V339,1,IF(Daten!$U339=16,1,0))</f>
        <v>0</v>
      </c>
      <c r="M339" s="156">
        <f ca="1">IF(Daten!$V339=17,1,0)</f>
        <v>0</v>
      </c>
      <c r="N339" s="157">
        <f ca="1">IF(Daten!$W339=Sprache!$A$60,1,0)</f>
        <v>1</v>
      </c>
      <c r="O339" s="169">
        <f>IF(AND(Daten!$AK339&lt;=KINVARO!$AW$3,Daten!$AL339&gt;=KINVARO!$AW$3)=TRUE,1,0)</f>
        <v>1</v>
      </c>
      <c r="P339" s="170">
        <f>IF(AND(Daten!$Z339&lt;=KINVARO!$AW$4,Daten!$AA339&gt;=KINVARO!$AW$4)=TRUE,1,0)</f>
        <v>0</v>
      </c>
      <c r="R339" s="170">
        <f>IF(AND(Daten!$AC339&lt;='Material+Limits'!$I$58,Daten!$AD339&gt;='Material+Limits'!$I$58)=TRUE,1,0)</f>
        <v>1</v>
      </c>
      <c r="S339" s="29">
        <f ca="1">IF(Daten!$X339=Sprache!$A$125,1,0)</f>
        <v>1</v>
      </c>
      <c r="T339" s="28" t="str">
        <f ca="1">Sprache!$A$59</f>
        <v>Podnośnik S-35</v>
      </c>
      <c r="U339" s="32">
        <f ca="1">Sprache!$A$64</f>
        <v>0</v>
      </c>
      <c r="V339" s="29">
        <f ca="1">Sprache!$A$64</f>
        <v>0</v>
      </c>
      <c r="W339" s="30" t="str">
        <f ca="1">Sprache!$A$60</f>
        <v>Front lity (drewno/płyta)</v>
      </c>
      <c r="X339" s="30">
        <f ca="1">Sprache!$A$126</f>
        <v>0</v>
      </c>
      <c r="Y339" s="30" t="str">
        <f ca="1">Sprache!$A$69</f>
        <v>Front</v>
      </c>
      <c r="Z339" s="30">
        <v>510</v>
      </c>
      <c r="AA339" s="28">
        <v>539</v>
      </c>
      <c r="AB339" s="30"/>
      <c r="AC339" s="31">
        <v>5</v>
      </c>
      <c r="AD339" s="53">
        <v>13</v>
      </c>
      <c r="AE339" s="30" t="s">
        <v>815</v>
      </c>
      <c r="AF339" s="30" t="str">
        <f ca="1">Sprache!$A$101</f>
        <v>Zestaw (prawy+lewy)</v>
      </c>
      <c r="AG339" s="30" t="s">
        <v>26</v>
      </c>
      <c r="AH339" s="30" t="str">
        <f ca="1">Sprache!$A$111</f>
        <v>Siłownik B</v>
      </c>
      <c r="AI339" s="30" t="s">
        <v>26</v>
      </c>
      <c r="AJ339" s="30" t="s">
        <v>26</v>
      </c>
      <c r="AK339" s="30">
        <v>450</v>
      </c>
      <c r="AL339" s="28">
        <v>1200</v>
      </c>
      <c r="AM339" s="30"/>
      <c r="AN339" s="28"/>
      <c r="AO339"/>
      <c r="AR339"/>
      <c r="AS339"/>
      <c r="AT339"/>
      <c r="AU339"/>
      <c r="AV339"/>
    </row>
    <row r="340" spans="1:48" x14ac:dyDescent="0.25">
      <c r="A340" t="str">
        <f t="shared" ca="1" si="11"/>
        <v/>
      </c>
      <c r="B340" t="str">
        <f t="shared" ca="1" si="10"/>
        <v/>
      </c>
      <c r="C340" s="79">
        <f>IF('Material+Limits'!$P$5=TRUE,1,0)</f>
        <v>0</v>
      </c>
      <c r="D340" s="39">
        <f>IF(Daten!$O340+Daten!$P340+Daten!$R340=3,1,0)</f>
        <v>0</v>
      </c>
      <c r="E340" s="184">
        <f ca="1">IF(AND('Material+Limits'!$Q$21=TRUE,Daten!N340=1)=TRUE,1,0)</f>
        <v>1</v>
      </c>
      <c r="F340" s="185">
        <f ca="1">IF(AND('Material+Limits'!$Q$25=TRUE,Daten!M340=1)=TRUE,1,0)</f>
        <v>0</v>
      </c>
      <c r="G340" s="185">
        <f ca="1">IF(AND('Material+Limits'!$Q$24=TRUE,Daten!L340=1)=TRUE,1,0)</f>
        <v>0</v>
      </c>
      <c r="H340" s="185">
        <f ca="1">IF(AND('Material+Limits'!$Q$23=TRUE,Daten!K340=1)=TRUE,1,0)</f>
        <v>0</v>
      </c>
      <c r="I340" s="185">
        <f ca="1">IF(AND('Material+Limits'!$Q$22=TRUE,Daten!J340=1)=TRUE,1,0)</f>
        <v>0</v>
      </c>
      <c r="J340" s="158">
        <f ca="1">IF(Daten!$U340=13,1,0)</f>
        <v>0</v>
      </c>
      <c r="K340" s="159">
        <f ca="1">IF(Daten!$U340&lt;&gt;Daten!$V340,1,IF(Daten!$U340=14,1,0))</f>
        <v>0</v>
      </c>
      <c r="L340" s="159">
        <f ca="1">IF(Daten!$U340&lt;&gt;Daten!$V340,1,IF(Daten!$U340=16,1,0))</f>
        <v>0</v>
      </c>
      <c r="M340" s="159">
        <f ca="1">IF(Daten!$V340=17,1,0)</f>
        <v>0</v>
      </c>
      <c r="N340" s="160">
        <f ca="1">IF(Daten!$W340=Sprache!$A$60,1,0)</f>
        <v>1</v>
      </c>
      <c r="O340" s="171">
        <f>IF(AND(Daten!$AK340&lt;=KINVARO!$AW$3,Daten!$AL340&gt;=KINVARO!$AW$3)=TRUE,1,0)</f>
        <v>1</v>
      </c>
      <c r="P340" s="172">
        <f>IF(AND(Daten!$Z340&lt;=KINVARO!$AW$4,Daten!$AA340&gt;=KINVARO!$AW$4)=TRUE,1,0)</f>
        <v>0</v>
      </c>
      <c r="Q340" s="172"/>
      <c r="R340" s="172">
        <f>IF(AND(Daten!$AC340&lt;='Material+Limits'!$I$58,Daten!$AD340&gt;='Material+Limits'!$I$58)=TRUE,1,0)</f>
        <v>1</v>
      </c>
      <c r="S340" s="23">
        <f ca="1">IF(Daten!$X340=Sprache!$A$125,1,0)</f>
        <v>1</v>
      </c>
      <c r="T340" s="24" t="str">
        <f ca="1">Sprache!$A$59</f>
        <v>Podnośnik S-35</v>
      </c>
      <c r="U340" s="27">
        <f ca="1">Sprache!$A$64</f>
        <v>0</v>
      </c>
      <c r="V340" s="23">
        <f ca="1">Sprache!$A$64</f>
        <v>0</v>
      </c>
      <c r="W340" s="25" t="str">
        <f ca="1">Sprache!$A$60</f>
        <v>Front lity (drewno/płyta)</v>
      </c>
      <c r="X340" s="25">
        <f ca="1">Sprache!$A$126</f>
        <v>0</v>
      </c>
      <c r="Y340" s="25" t="str">
        <f ca="1">Sprache!$A$69</f>
        <v>Front</v>
      </c>
      <c r="Z340" s="25">
        <v>510</v>
      </c>
      <c r="AA340" s="24">
        <v>539</v>
      </c>
      <c r="AB340" s="25"/>
      <c r="AC340" s="26">
        <v>6</v>
      </c>
      <c r="AD340" s="54">
        <v>14</v>
      </c>
      <c r="AE340" s="25" t="s">
        <v>816</v>
      </c>
      <c r="AF340" s="25" t="str">
        <f ca="1">Sprache!$A$101</f>
        <v>Zestaw (prawy+lewy)</v>
      </c>
      <c r="AG340" s="25" t="s">
        <v>26</v>
      </c>
      <c r="AH340" s="25" t="str">
        <f ca="1">Sprache!$A$112</f>
        <v>Siłownik C</v>
      </c>
      <c r="AI340" s="25" t="s">
        <v>26</v>
      </c>
      <c r="AJ340" s="25" t="s">
        <v>26</v>
      </c>
      <c r="AK340" s="25">
        <v>450</v>
      </c>
      <c r="AL340" s="24">
        <v>1200</v>
      </c>
      <c r="AM340" s="30"/>
      <c r="AN340" s="24"/>
      <c r="AO340"/>
      <c r="AR340"/>
      <c r="AS340"/>
      <c r="AT340"/>
      <c r="AU340"/>
      <c r="AV340"/>
    </row>
    <row r="341" spans="1:48" x14ac:dyDescent="0.25">
      <c r="A341" t="str">
        <f t="shared" ca="1" si="11"/>
        <v/>
      </c>
      <c r="B341" t="str">
        <f t="shared" ca="1" si="10"/>
        <v/>
      </c>
      <c r="C341" s="79">
        <f>IF('Material+Limits'!$P$5=TRUE,1,0)</f>
        <v>0</v>
      </c>
      <c r="D341" s="39">
        <f>IF(Daten!$O341+Daten!$P341+Daten!$R341=3,1,0)</f>
        <v>0</v>
      </c>
      <c r="E341" s="184">
        <f ca="1">IF(AND('Material+Limits'!$Q$21=TRUE,Daten!N341=1)=TRUE,1,0)</f>
        <v>0</v>
      </c>
      <c r="F341" s="185">
        <f>IF(AND('Material+Limits'!$Q$25=TRUE,Daten!M341=1)=TRUE,1,0)</f>
        <v>0</v>
      </c>
      <c r="G341" s="185">
        <f>IF(AND('Material+Limits'!$Q$24=TRUE,Daten!L341=1)=TRUE,1,0)</f>
        <v>0</v>
      </c>
      <c r="H341" s="185">
        <f>IF(AND('Material+Limits'!$Q$23=TRUE,Daten!K341=1)=TRUE,1,0)</f>
        <v>0</v>
      </c>
      <c r="I341" s="185">
        <f>IF(AND('Material+Limits'!$Q$22=TRUE,Daten!J341=1)=TRUE,1,0)</f>
        <v>0</v>
      </c>
      <c r="J341" s="155">
        <f>IF(Daten!$U341=13,1,0)</f>
        <v>1</v>
      </c>
      <c r="K341" s="156">
        <f>IF(Daten!$U341&lt;&gt;Daten!$V341,1,IF(Daten!$U341=14,1,0))</f>
        <v>1</v>
      </c>
      <c r="L341" s="156">
        <f>IF(Daten!$U341&lt;&gt;Daten!$V341,1,IF(Daten!$U341=16,1,0))</f>
        <v>1</v>
      </c>
      <c r="M341" s="156">
        <f>IF(Daten!$V341=17,1,0)</f>
        <v>1</v>
      </c>
      <c r="N341" s="157">
        <f ca="1">IF(Daten!$W341=Sprache!$A$60,1,0)</f>
        <v>0</v>
      </c>
      <c r="O341" s="169">
        <f>IF(AND(Daten!$AK341&lt;=KINVARO!$AW$3,Daten!$AL341&gt;=KINVARO!$AW$3)=TRUE,1,0)</f>
        <v>1</v>
      </c>
      <c r="P341" s="170">
        <f>IF(AND(Daten!$Z341&lt;=KINVARO!$AW$4,Daten!$AA341&gt;=KINVARO!$AW$4)=TRUE,1,0)</f>
        <v>0</v>
      </c>
      <c r="R341" s="170">
        <f>IF(AND(Daten!$AC341&lt;='Material+Limits'!$I$58,Daten!$AD341&gt;='Material+Limits'!$I$58)=TRUE,1,0)</f>
        <v>0</v>
      </c>
      <c r="S341" s="29">
        <f ca="1">IF(Daten!$X341=Sprache!$A$125,1,0)</f>
        <v>1</v>
      </c>
      <c r="T341" s="28" t="str">
        <f ca="1">Sprache!$A$59</f>
        <v>Podnośnik S-35</v>
      </c>
      <c r="U341" s="32">
        <v>13</v>
      </c>
      <c r="V341" s="29">
        <v>17</v>
      </c>
      <c r="W341" s="30">
        <f ca="1">Sprache!$A$132</f>
        <v>0</v>
      </c>
      <c r="X341" s="30">
        <f ca="1">Sprache!$A$126</f>
        <v>0</v>
      </c>
      <c r="Y341" s="30" t="str">
        <f ca="1">Sprache!$A$69</f>
        <v>Front</v>
      </c>
      <c r="Z341" s="30">
        <v>510</v>
      </c>
      <c r="AA341" s="28">
        <v>539</v>
      </c>
      <c r="AB341" s="30"/>
      <c r="AC341" s="31">
        <v>2</v>
      </c>
      <c r="AD341" s="53">
        <v>6</v>
      </c>
      <c r="AE341" s="30" t="s">
        <v>814</v>
      </c>
      <c r="AF341" s="30" t="str">
        <f ca="1">Sprache!$A$101</f>
        <v>Zestaw (prawy+lewy)</v>
      </c>
      <c r="AG341" s="30" t="s">
        <v>26</v>
      </c>
      <c r="AH341" s="30" t="str">
        <f ca="1">Sprache!$A$110</f>
        <v>Siłownik A</v>
      </c>
      <c r="AI341" s="30" t="str">
        <f ca="1">Sprache!$A$137</f>
        <v>Adapter do ram aluminiowych, do Kinvaro S-35 zest.</v>
      </c>
      <c r="AJ341" s="243" t="s">
        <v>819</v>
      </c>
      <c r="AK341" s="30">
        <v>450</v>
      </c>
      <c r="AL341" s="28">
        <v>1200</v>
      </c>
      <c r="AM341" s="30"/>
      <c r="AN341" s="28"/>
      <c r="AO341"/>
      <c r="AR341"/>
      <c r="AS341"/>
      <c r="AT341"/>
      <c r="AU341"/>
      <c r="AV341"/>
    </row>
    <row r="342" spans="1:48" x14ac:dyDescent="0.25">
      <c r="A342" t="str">
        <f t="shared" ca="1" si="11"/>
        <v/>
      </c>
      <c r="B342" t="str">
        <f t="shared" ca="1" si="10"/>
        <v/>
      </c>
      <c r="C342" s="79">
        <f>IF('Material+Limits'!$P$5=TRUE,1,0)</f>
        <v>0</v>
      </c>
      <c r="D342" s="39">
        <f>IF(Daten!$O342+Daten!$P342+Daten!$R342=3,1,0)</f>
        <v>0</v>
      </c>
      <c r="E342" s="184">
        <f ca="1">IF(AND('Material+Limits'!$Q$21=TRUE,Daten!N342=1)=TRUE,1,0)</f>
        <v>0</v>
      </c>
      <c r="F342" s="185">
        <f>IF(AND('Material+Limits'!$Q$25=TRUE,Daten!M342=1)=TRUE,1,0)</f>
        <v>0</v>
      </c>
      <c r="G342" s="185">
        <f>IF(AND('Material+Limits'!$Q$24=TRUE,Daten!L342=1)=TRUE,1,0)</f>
        <v>0</v>
      </c>
      <c r="H342" s="185">
        <f>IF(AND('Material+Limits'!$Q$23=TRUE,Daten!K342=1)=TRUE,1,0)</f>
        <v>0</v>
      </c>
      <c r="I342" s="185">
        <f>IF(AND('Material+Limits'!$Q$22=TRUE,Daten!J342=1)=TRUE,1,0)</f>
        <v>0</v>
      </c>
      <c r="J342" s="158">
        <f>IF(Daten!$U342=13,1,0)</f>
        <v>1</v>
      </c>
      <c r="K342" s="159">
        <f>IF(Daten!$U342&lt;&gt;Daten!$V342,1,IF(Daten!$U342=14,1,0))</f>
        <v>1</v>
      </c>
      <c r="L342" s="159">
        <f>IF(Daten!$U342&lt;&gt;Daten!$V342,1,IF(Daten!$U342=16,1,0))</f>
        <v>1</v>
      </c>
      <c r="M342" s="159">
        <f>IF(Daten!$V342=17,1,0)</f>
        <v>1</v>
      </c>
      <c r="N342" s="160">
        <f ca="1">IF(Daten!$W342=Sprache!$A$60,1,0)</f>
        <v>0</v>
      </c>
      <c r="O342" s="171">
        <f>IF(AND(Daten!$AK342&lt;=KINVARO!$AW$3,Daten!$AL342&gt;=KINVARO!$AW$3)=TRUE,1,0)</f>
        <v>1</v>
      </c>
      <c r="P342" s="172">
        <f>IF(AND(Daten!$Z342&lt;=KINVARO!$AW$4,Daten!$AA342&gt;=KINVARO!$AW$4)=TRUE,1,0)</f>
        <v>0</v>
      </c>
      <c r="Q342" s="172"/>
      <c r="R342" s="172">
        <f>IF(AND(Daten!$AC342&lt;='Material+Limits'!$I$58,Daten!$AD342&gt;='Material+Limits'!$I$58)=TRUE,1,0)</f>
        <v>1</v>
      </c>
      <c r="S342" s="23">
        <f ca="1">IF(Daten!$X342=Sprache!$A$125,1,0)</f>
        <v>1</v>
      </c>
      <c r="T342" s="24" t="str">
        <f ca="1">Sprache!$A$59</f>
        <v>Podnośnik S-35</v>
      </c>
      <c r="U342" s="27">
        <v>13</v>
      </c>
      <c r="V342" s="23">
        <v>17</v>
      </c>
      <c r="W342" s="25">
        <f ca="1">Sprache!$A$132</f>
        <v>0</v>
      </c>
      <c r="X342" s="25">
        <f ca="1">Sprache!$A$126</f>
        <v>0</v>
      </c>
      <c r="Y342" s="25" t="str">
        <f ca="1">Sprache!$A$69</f>
        <v>Front</v>
      </c>
      <c r="Z342" s="25">
        <v>510</v>
      </c>
      <c r="AA342" s="24">
        <v>539</v>
      </c>
      <c r="AB342" s="25"/>
      <c r="AC342" s="26">
        <v>5</v>
      </c>
      <c r="AD342" s="54">
        <v>13</v>
      </c>
      <c r="AE342" s="25" t="s">
        <v>815</v>
      </c>
      <c r="AF342" s="25" t="str">
        <f ca="1">Sprache!$A$101</f>
        <v>Zestaw (prawy+lewy)</v>
      </c>
      <c r="AG342" s="25" t="s">
        <v>26</v>
      </c>
      <c r="AH342" s="25" t="str">
        <f ca="1">Sprache!$A$111</f>
        <v>Siłownik B</v>
      </c>
      <c r="AI342" s="25" t="str">
        <f ca="1">Sprache!$A$137</f>
        <v>Adapter do ram aluminiowych, do Kinvaro S-35 zest.</v>
      </c>
      <c r="AJ342" s="242" t="s">
        <v>819</v>
      </c>
      <c r="AK342" s="25">
        <v>450</v>
      </c>
      <c r="AL342" s="24">
        <v>1200</v>
      </c>
      <c r="AM342" s="30"/>
      <c r="AN342" s="24"/>
      <c r="AO342"/>
      <c r="AR342"/>
      <c r="AS342"/>
      <c r="AT342"/>
      <c r="AU342"/>
      <c r="AV342"/>
    </row>
    <row r="343" spans="1:48" s="5" customFormat="1" x14ac:dyDescent="0.25">
      <c r="A343" t="str">
        <f t="shared" ca="1" si="11"/>
        <v/>
      </c>
      <c r="B343" t="str">
        <f t="shared" ca="1" si="10"/>
        <v/>
      </c>
      <c r="C343" s="79">
        <f>IF('Material+Limits'!$P$5=TRUE,1,0)</f>
        <v>0</v>
      </c>
      <c r="D343" s="39">
        <f>IF(Daten!$O343+Daten!$P343+Daten!$R343=3,1,0)</f>
        <v>0</v>
      </c>
      <c r="E343" s="184">
        <f ca="1">IF(AND('Material+Limits'!$Q$21=TRUE,Daten!N343=1)=TRUE,1,0)</f>
        <v>0</v>
      </c>
      <c r="F343" s="185">
        <f>IF(AND('Material+Limits'!$Q$25=TRUE,Daten!M343=1)=TRUE,1,0)</f>
        <v>0</v>
      </c>
      <c r="G343" s="185">
        <f>IF(AND('Material+Limits'!$Q$24=TRUE,Daten!L343=1)=TRUE,1,0)</f>
        <v>0</v>
      </c>
      <c r="H343" s="185">
        <f>IF(AND('Material+Limits'!$Q$23=TRUE,Daten!K343=1)=TRUE,1,0)</f>
        <v>0</v>
      </c>
      <c r="I343" s="185">
        <f>IF(AND('Material+Limits'!$Q$22=TRUE,Daten!J343=1)=TRUE,1,0)</f>
        <v>0</v>
      </c>
      <c r="J343" s="155">
        <f>IF(Daten!$U343=13,1,0)</f>
        <v>1</v>
      </c>
      <c r="K343" s="156">
        <f>IF(Daten!$U343&lt;&gt;Daten!$V343,1,IF(Daten!$U343=14,1,0))</f>
        <v>1</v>
      </c>
      <c r="L343" s="156">
        <f>IF(Daten!$U343&lt;&gt;Daten!$V343,1,IF(Daten!$U343=16,1,0))</f>
        <v>1</v>
      </c>
      <c r="M343" s="156">
        <f>IF(Daten!$V343=17,1,0)</f>
        <v>1</v>
      </c>
      <c r="N343" s="157">
        <f ca="1">IF(Daten!$W343=Sprache!$A$60,1,0)</f>
        <v>0</v>
      </c>
      <c r="O343" s="169">
        <f>IF(AND(Daten!$AK343&lt;=KINVARO!$AW$3,Daten!$AL343&gt;=KINVARO!$AW$3)=TRUE,1,0)</f>
        <v>1</v>
      </c>
      <c r="P343" s="170">
        <f>IF(AND(Daten!$Z343&lt;=KINVARO!$AW$4,Daten!$AA343&gt;=KINVARO!$AW$4)=TRUE,1,0)</f>
        <v>0</v>
      </c>
      <c r="Q343" s="170"/>
      <c r="R343" s="170">
        <f>IF(AND(Daten!$AC343&lt;='Material+Limits'!$I$58,Daten!$AD343&gt;='Material+Limits'!$I$58)=TRUE,1,0)</f>
        <v>1</v>
      </c>
      <c r="S343" s="29">
        <f ca="1">IF(Daten!$X343=Sprache!$A$125,1,0)</f>
        <v>1</v>
      </c>
      <c r="T343" s="28" t="str">
        <f ca="1">Sprache!$A$59</f>
        <v>Podnośnik S-35</v>
      </c>
      <c r="U343" s="32">
        <v>13</v>
      </c>
      <c r="V343" s="29">
        <v>17</v>
      </c>
      <c r="W343" s="30">
        <f ca="1">Sprache!$A$132</f>
        <v>0</v>
      </c>
      <c r="X343" s="30">
        <f ca="1">Sprache!$A$126</f>
        <v>0</v>
      </c>
      <c r="Y343" s="30" t="str">
        <f ca="1">Sprache!$A$69</f>
        <v>Front</v>
      </c>
      <c r="Z343" s="30">
        <v>510</v>
      </c>
      <c r="AA343" s="28">
        <v>539</v>
      </c>
      <c r="AB343" s="30"/>
      <c r="AC343" s="31">
        <v>6</v>
      </c>
      <c r="AD343" s="53">
        <v>14</v>
      </c>
      <c r="AE343" s="30" t="s">
        <v>816</v>
      </c>
      <c r="AF343" s="30" t="str">
        <f ca="1">Sprache!$A$101</f>
        <v>Zestaw (prawy+lewy)</v>
      </c>
      <c r="AG343" s="30" t="s">
        <v>26</v>
      </c>
      <c r="AH343" s="30" t="str">
        <f ca="1">Sprache!$A$112</f>
        <v>Siłownik C</v>
      </c>
      <c r="AI343" s="30" t="str">
        <f ca="1">Sprache!$A$137</f>
        <v>Adapter do ram aluminiowych, do Kinvaro S-35 zest.</v>
      </c>
      <c r="AJ343" s="243" t="s">
        <v>819</v>
      </c>
      <c r="AK343" s="30">
        <v>450</v>
      </c>
      <c r="AL343" s="28">
        <v>1200</v>
      </c>
      <c r="AM343" s="30"/>
      <c r="AN343" s="28"/>
    </row>
    <row r="344" spans="1:48" x14ac:dyDescent="0.25">
      <c r="A344" t="str">
        <f t="shared" ref="A344:A349" ca="1" si="12">IF(E344+F344+G344+H344+I344+C344+D344=3,1,"")</f>
        <v/>
      </c>
      <c r="B344" t="str">
        <f t="shared" ref="B344:B349" ca="1" si="13">IF(F344+G344+H344+I344+D344+E344=2,1,"")</f>
        <v/>
      </c>
      <c r="C344" s="79">
        <f>IF('Material+Limits'!$P$5=TRUE,1,0)</f>
        <v>0</v>
      </c>
      <c r="D344" s="39">
        <f>IF(Daten!$O344+Daten!$P344+Daten!$R344=3,1,0)</f>
        <v>0</v>
      </c>
      <c r="E344" s="184">
        <f ca="1">IF(AND('Material+Limits'!$Q$21=TRUE,Daten!N344=1)=TRUE,1,0)</f>
        <v>1</v>
      </c>
      <c r="F344" s="185">
        <f ca="1">IF(AND('Material+Limits'!$Q$25=TRUE,Daten!M344=1)=TRUE,1,0)</f>
        <v>0</v>
      </c>
      <c r="G344" s="185">
        <f ca="1">IF(AND('Material+Limits'!$Q$24=TRUE,Daten!L344=1)=TRUE,1,0)</f>
        <v>0</v>
      </c>
      <c r="H344" s="185">
        <f ca="1">IF(AND('Material+Limits'!$Q$23=TRUE,Daten!K344=1)=TRUE,1,0)</f>
        <v>0</v>
      </c>
      <c r="I344" s="185">
        <f ca="1">IF(AND('Material+Limits'!$Q$22=TRUE,Daten!J344=1)=TRUE,1,0)</f>
        <v>0</v>
      </c>
      <c r="J344" s="158">
        <f ca="1">IF(Daten!$U344=13,1,0)</f>
        <v>0</v>
      </c>
      <c r="K344" s="159">
        <f ca="1">IF(Daten!$U344&lt;&gt;Daten!$V344,1,IF(Daten!$U344=14,1,0))</f>
        <v>0</v>
      </c>
      <c r="L344" s="159">
        <f ca="1">IF(Daten!$U344&lt;&gt;Daten!$V344,1,IF(Daten!$U344=16,1,0))</f>
        <v>0</v>
      </c>
      <c r="M344" s="159">
        <f ca="1">IF(Daten!$V344=17,1,0)</f>
        <v>0</v>
      </c>
      <c r="N344" s="160">
        <f ca="1">IF(Daten!$W344=Sprache!$A$60,1,0)</f>
        <v>1</v>
      </c>
      <c r="O344" s="173">
        <f>IF(AND(Daten!$AK344&lt;=KINVARO!$AW$3,Daten!$AL344&gt;=KINVARO!$AW$3)=TRUE,1,0)</f>
        <v>1</v>
      </c>
      <c r="P344" s="174">
        <f>IF(AND(Daten!$Z344&lt;=KINVARO!$AW$4,Daten!$AA344&gt;=KINVARO!$AW$4)=TRUE,1,0)</f>
        <v>1</v>
      </c>
      <c r="Q344" s="174"/>
      <c r="R344" s="174">
        <f>IF(AND(Daten!$AC344&lt;='Material+Limits'!$I$58,Daten!$AD344&gt;='Material+Limits'!$I$58)=TRUE,1,0)</f>
        <v>0</v>
      </c>
      <c r="S344" s="38">
        <f ca="1">IF(Daten!$X344=Sprache!$A$125,1,0)</f>
        <v>1</v>
      </c>
      <c r="T344" s="57" t="str">
        <f ca="1">Sprache!$A$59</f>
        <v>Podnośnik S-35</v>
      </c>
      <c r="U344" s="55">
        <f ca="1">Sprache!$A$64</f>
        <v>0</v>
      </c>
      <c r="V344" s="38">
        <f ca="1">Sprache!$A$64</f>
        <v>0</v>
      </c>
      <c r="W344" s="56" t="str">
        <f ca="1">Sprache!$A$60</f>
        <v>Front lity (drewno/płyta)</v>
      </c>
      <c r="X344" s="25">
        <f ca="1">Sprache!$A$126</f>
        <v>0</v>
      </c>
      <c r="Y344" s="56" t="str">
        <f ca="1">Sprache!$A$69</f>
        <v>Front</v>
      </c>
      <c r="Z344" s="56">
        <v>540</v>
      </c>
      <c r="AA344" s="57">
        <v>569</v>
      </c>
      <c r="AB344" s="56"/>
      <c r="AC344" s="58">
        <v>2</v>
      </c>
      <c r="AD344" s="59">
        <v>6</v>
      </c>
      <c r="AE344" s="56" t="s">
        <v>814</v>
      </c>
      <c r="AF344" s="56" t="str">
        <f ca="1">Sprache!$A$101</f>
        <v>Zestaw (prawy+lewy)</v>
      </c>
      <c r="AG344" s="56" t="s">
        <v>26</v>
      </c>
      <c r="AH344" s="56" t="str">
        <f ca="1">Sprache!$A$110</f>
        <v>Siłownik A</v>
      </c>
      <c r="AI344" s="56" t="s">
        <v>26</v>
      </c>
      <c r="AJ344" s="56" t="s">
        <v>26</v>
      </c>
      <c r="AK344" s="56">
        <v>450</v>
      </c>
      <c r="AL344" s="57">
        <v>1200</v>
      </c>
      <c r="AM344" s="30"/>
      <c r="AN344" s="24"/>
      <c r="AO344"/>
      <c r="AR344"/>
      <c r="AS344"/>
      <c r="AT344"/>
      <c r="AU344"/>
      <c r="AV344"/>
    </row>
    <row r="345" spans="1:48" x14ac:dyDescent="0.25">
      <c r="A345" t="str">
        <f t="shared" ca="1" si="12"/>
        <v/>
      </c>
      <c r="B345">
        <f t="shared" ca="1" si="13"/>
        <v>1</v>
      </c>
      <c r="C345" s="79">
        <f>IF('Material+Limits'!$P$5=TRUE,1,0)</f>
        <v>0</v>
      </c>
      <c r="D345" s="39">
        <f>IF(Daten!$O345+Daten!$P345+Daten!$R345=3,1,0)</f>
        <v>1</v>
      </c>
      <c r="E345" s="184">
        <f ca="1">IF(AND('Material+Limits'!$Q$21=TRUE,Daten!N345=1)=TRUE,1,0)</f>
        <v>1</v>
      </c>
      <c r="F345" s="185">
        <f ca="1">IF(AND('Material+Limits'!$Q$25=TRUE,Daten!M345=1)=TRUE,1,0)</f>
        <v>0</v>
      </c>
      <c r="G345" s="185">
        <f ca="1">IF(AND('Material+Limits'!$Q$24=TRUE,Daten!L345=1)=TRUE,1,0)</f>
        <v>0</v>
      </c>
      <c r="H345" s="185">
        <f ca="1">IF(AND('Material+Limits'!$Q$23=TRUE,Daten!K345=1)=TRUE,1,0)</f>
        <v>0</v>
      </c>
      <c r="I345" s="185">
        <f ca="1">IF(AND('Material+Limits'!$Q$22=TRUE,Daten!J345=1)=TRUE,1,0)</f>
        <v>0</v>
      </c>
      <c r="J345" s="155">
        <f ca="1">IF(Daten!$U345=13,1,0)</f>
        <v>0</v>
      </c>
      <c r="K345" s="156">
        <f ca="1">IF(Daten!$U345&lt;&gt;Daten!$V345,1,IF(Daten!$U345=14,1,0))</f>
        <v>0</v>
      </c>
      <c r="L345" s="156">
        <f ca="1">IF(Daten!$U345&lt;&gt;Daten!$V345,1,IF(Daten!$U345=16,1,0))</f>
        <v>0</v>
      </c>
      <c r="M345" s="156">
        <f ca="1">IF(Daten!$V345=17,1,0)</f>
        <v>0</v>
      </c>
      <c r="N345" s="157">
        <f ca="1">IF(Daten!$W345=Sprache!$A$60,1,0)</f>
        <v>1</v>
      </c>
      <c r="O345" s="169">
        <f>IF(AND(Daten!$AK345&lt;=KINVARO!$AW$3,Daten!$AL345&gt;=KINVARO!$AW$3)=TRUE,1,0)</f>
        <v>1</v>
      </c>
      <c r="P345" s="170">
        <f>IF(AND(Daten!$Z345&lt;=KINVARO!$AW$4,Daten!$AA345&gt;=KINVARO!$AW$4)=TRUE,1,0)</f>
        <v>1</v>
      </c>
      <c r="R345" s="170">
        <f>IF(AND(Daten!$AC345&lt;='Material+Limits'!$I$58,Daten!$AD345&gt;='Material+Limits'!$I$58)=TRUE,1,0)</f>
        <v>1</v>
      </c>
      <c r="S345" s="29">
        <f ca="1">IF(Daten!$X345=Sprache!$A$125,1,0)</f>
        <v>1</v>
      </c>
      <c r="T345" s="28" t="str">
        <f ca="1">Sprache!$A$59</f>
        <v>Podnośnik S-35</v>
      </c>
      <c r="U345" s="32">
        <f ca="1">Sprache!$A$64</f>
        <v>0</v>
      </c>
      <c r="V345" s="29">
        <f ca="1">Sprache!$A$64</f>
        <v>0</v>
      </c>
      <c r="W345" s="30" t="str">
        <f ca="1">Sprache!$A$60</f>
        <v>Front lity (drewno/płyta)</v>
      </c>
      <c r="X345" s="30">
        <f ca="1">Sprache!$A$126</f>
        <v>0</v>
      </c>
      <c r="Y345" s="30" t="str">
        <f ca="1">Sprache!$A$69</f>
        <v>Front</v>
      </c>
      <c r="Z345" s="30">
        <v>540</v>
      </c>
      <c r="AA345" s="28">
        <v>569</v>
      </c>
      <c r="AB345" s="30"/>
      <c r="AC345" s="31">
        <v>5</v>
      </c>
      <c r="AD345" s="53">
        <v>12.5</v>
      </c>
      <c r="AE345" s="30" t="s">
        <v>815</v>
      </c>
      <c r="AF345" s="30" t="str">
        <f ca="1">Sprache!$A$101</f>
        <v>Zestaw (prawy+lewy)</v>
      </c>
      <c r="AG345" s="30" t="s">
        <v>26</v>
      </c>
      <c r="AH345" s="30" t="str">
        <f ca="1">Sprache!$A$111</f>
        <v>Siłownik B</v>
      </c>
      <c r="AI345" s="30" t="s">
        <v>26</v>
      </c>
      <c r="AJ345" s="30" t="s">
        <v>26</v>
      </c>
      <c r="AK345" s="30">
        <v>450</v>
      </c>
      <c r="AL345" s="28">
        <v>1200</v>
      </c>
      <c r="AM345" s="30"/>
      <c r="AN345" s="28"/>
      <c r="AO345"/>
      <c r="AR345"/>
      <c r="AS345"/>
      <c r="AT345"/>
      <c r="AU345"/>
      <c r="AV345"/>
    </row>
    <row r="346" spans="1:48" x14ac:dyDescent="0.25">
      <c r="A346" t="str">
        <f t="shared" ca="1" si="12"/>
        <v/>
      </c>
      <c r="B346">
        <f t="shared" ca="1" si="13"/>
        <v>1</v>
      </c>
      <c r="C346" s="79">
        <f>IF('Material+Limits'!$P$5=TRUE,1,0)</f>
        <v>0</v>
      </c>
      <c r="D346" s="39">
        <f>IF(Daten!$O346+Daten!$P346+Daten!$R346=3,1,0)</f>
        <v>1</v>
      </c>
      <c r="E346" s="184">
        <f ca="1">IF(AND('Material+Limits'!$Q$21=TRUE,Daten!N346=1)=TRUE,1,0)</f>
        <v>1</v>
      </c>
      <c r="F346" s="185">
        <f ca="1">IF(AND('Material+Limits'!$Q$25=TRUE,Daten!M346=1)=TRUE,1,0)</f>
        <v>0</v>
      </c>
      <c r="G346" s="185">
        <f ca="1">IF(AND('Material+Limits'!$Q$24=TRUE,Daten!L346=1)=TRUE,1,0)</f>
        <v>0</v>
      </c>
      <c r="H346" s="185">
        <f ca="1">IF(AND('Material+Limits'!$Q$23=TRUE,Daten!K346=1)=TRUE,1,0)</f>
        <v>0</v>
      </c>
      <c r="I346" s="185">
        <f ca="1">IF(AND('Material+Limits'!$Q$22=TRUE,Daten!J346=1)=TRUE,1,0)</f>
        <v>0</v>
      </c>
      <c r="J346" s="158">
        <f ca="1">IF(Daten!$U346=13,1,0)</f>
        <v>0</v>
      </c>
      <c r="K346" s="159">
        <f ca="1">IF(Daten!$U346&lt;&gt;Daten!$V346,1,IF(Daten!$U346=14,1,0))</f>
        <v>0</v>
      </c>
      <c r="L346" s="159">
        <f ca="1">IF(Daten!$U346&lt;&gt;Daten!$V346,1,IF(Daten!$U346=16,1,0))</f>
        <v>0</v>
      </c>
      <c r="M346" s="159">
        <f ca="1">IF(Daten!$V346=17,1,0)</f>
        <v>0</v>
      </c>
      <c r="N346" s="160">
        <f ca="1">IF(Daten!$W346=Sprache!$A$60,1,0)</f>
        <v>1</v>
      </c>
      <c r="O346" s="171">
        <f>IF(AND(Daten!$AK346&lt;=KINVARO!$AW$3,Daten!$AL346&gt;=KINVARO!$AW$3)=TRUE,1,0)</f>
        <v>1</v>
      </c>
      <c r="P346" s="172">
        <f>IF(AND(Daten!$Z346&lt;=KINVARO!$AW$4,Daten!$AA346&gt;=KINVARO!$AW$4)=TRUE,1,0)</f>
        <v>1</v>
      </c>
      <c r="Q346" s="172"/>
      <c r="R346" s="172">
        <f>IF(AND(Daten!$AC346&lt;='Material+Limits'!$I$58,Daten!$AD346&gt;='Material+Limits'!$I$58)=TRUE,1,0)</f>
        <v>1</v>
      </c>
      <c r="S346" s="23">
        <f ca="1">IF(Daten!$X346=Sprache!$A$125,1,0)</f>
        <v>1</v>
      </c>
      <c r="T346" s="24" t="str">
        <f ca="1">Sprache!$A$59</f>
        <v>Podnośnik S-35</v>
      </c>
      <c r="U346" s="27">
        <f ca="1">Sprache!$A$64</f>
        <v>0</v>
      </c>
      <c r="V346" s="23">
        <f ca="1">Sprache!$A$64</f>
        <v>0</v>
      </c>
      <c r="W346" s="25" t="str">
        <f ca="1">Sprache!$A$60</f>
        <v>Front lity (drewno/płyta)</v>
      </c>
      <c r="X346" s="25">
        <f ca="1">Sprache!$A$126</f>
        <v>0</v>
      </c>
      <c r="Y346" s="25" t="str">
        <f ca="1">Sprache!$A$69</f>
        <v>Front</v>
      </c>
      <c r="Z346" s="25">
        <v>540</v>
      </c>
      <c r="AA346" s="24">
        <v>569</v>
      </c>
      <c r="AB346" s="25"/>
      <c r="AC346" s="26">
        <v>6</v>
      </c>
      <c r="AD346" s="54">
        <v>14</v>
      </c>
      <c r="AE346" s="25" t="s">
        <v>816</v>
      </c>
      <c r="AF346" s="25" t="str">
        <f ca="1">Sprache!$A$101</f>
        <v>Zestaw (prawy+lewy)</v>
      </c>
      <c r="AG346" s="25" t="s">
        <v>26</v>
      </c>
      <c r="AH346" s="25" t="str">
        <f ca="1">Sprache!$A$112</f>
        <v>Siłownik C</v>
      </c>
      <c r="AI346" s="25" t="s">
        <v>26</v>
      </c>
      <c r="AJ346" s="25" t="s">
        <v>26</v>
      </c>
      <c r="AK346" s="25">
        <v>450</v>
      </c>
      <c r="AL346" s="24">
        <v>1200</v>
      </c>
      <c r="AM346" s="30"/>
      <c r="AN346" s="24"/>
      <c r="AO346"/>
      <c r="AR346"/>
      <c r="AS346"/>
      <c r="AT346"/>
      <c r="AU346"/>
      <c r="AV346"/>
    </row>
    <row r="347" spans="1:48" x14ac:dyDescent="0.25">
      <c r="A347" t="str">
        <f t="shared" ca="1" si="12"/>
        <v/>
      </c>
      <c r="B347" t="str">
        <f t="shared" ca="1" si="13"/>
        <v/>
      </c>
      <c r="C347" s="79">
        <f>IF('Material+Limits'!$P$5=TRUE,1,0)</f>
        <v>0</v>
      </c>
      <c r="D347" s="39">
        <f>IF(Daten!$O347+Daten!$P347+Daten!$R347=3,1,0)</f>
        <v>0</v>
      </c>
      <c r="E347" s="184">
        <f ca="1">IF(AND('Material+Limits'!$Q$21=TRUE,Daten!N347=1)=TRUE,1,0)</f>
        <v>0</v>
      </c>
      <c r="F347" s="185">
        <f>IF(AND('Material+Limits'!$Q$25=TRUE,Daten!M347=1)=TRUE,1,0)</f>
        <v>0</v>
      </c>
      <c r="G347" s="185">
        <f>IF(AND('Material+Limits'!$Q$24=TRUE,Daten!L347=1)=TRUE,1,0)</f>
        <v>0</v>
      </c>
      <c r="H347" s="185">
        <f>IF(AND('Material+Limits'!$Q$23=TRUE,Daten!K347=1)=TRUE,1,0)</f>
        <v>0</v>
      </c>
      <c r="I347" s="185">
        <f>IF(AND('Material+Limits'!$Q$22=TRUE,Daten!J347=1)=TRUE,1,0)</f>
        <v>0</v>
      </c>
      <c r="J347" s="155">
        <f>IF(Daten!$U347=13,1,0)</f>
        <v>1</v>
      </c>
      <c r="K347" s="156">
        <f>IF(Daten!$U347&lt;&gt;Daten!$V347,1,IF(Daten!$U347=14,1,0))</f>
        <v>1</v>
      </c>
      <c r="L347" s="156">
        <f>IF(Daten!$U347&lt;&gt;Daten!$V347,1,IF(Daten!$U347=16,1,0))</f>
        <v>1</v>
      </c>
      <c r="M347" s="156">
        <f>IF(Daten!$V347=17,1,0)</f>
        <v>1</v>
      </c>
      <c r="N347" s="157">
        <f ca="1">IF(Daten!$W347=Sprache!$A$60,1,0)</f>
        <v>0</v>
      </c>
      <c r="O347" s="169">
        <f>IF(AND(Daten!$AK347&lt;=KINVARO!$AW$3,Daten!$AL347&gt;=KINVARO!$AW$3)=TRUE,1,0)</f>
        <v>1</v>
      </c>
      <c r="P347" s="170">
        <f>IF(AND(Daten!$Z347&lt;=KINVARO!$AW$4,Daten!$AA347&gt;=KINVARO!$AW$4)=TRUE,1,0)</f>
        <v>1</v>
      </c>
      <c r="R347" s="170">
        <f>IF(AND(Daten!$AC347&lt;='Material+Limits'!$I$58,Daten!$AD347&gt;='Material+Limits'!$I$58)=TRUE,1,0)</f>
        <v>0</v>
      </c>
      <c r="S347" s="29">
        <f ca="1">IF(Daten!$X347=Sprache!$A$125,1,0)</f>
        <v>1</v>
      </c>
      <c r="T347" s="28" t="str">
        <f ca="1">Sprache!$A$59</f>
        <v>Podnośnik S-35</v>
      </c>
      <c r="U347" s="32">
        <v>13</v>
      </c>
      <c r="V347" s="29">
        <v>17</v>
      </c>
      <c r="W347" s="30">
        <f ca="1">Sprache!$A$132</f>
        <v>0</v>
      </c>
      <c r="X347" s="30">
        <f ca="1">Sprache!$A$126</f>
        <v>0</v>
      </c>
      <c r="Y347" s="30" t="str">
        <f ca="1">Sprache!$A$69</f>
        <v>Front</v>
      </c>
      <c r="Z347" s="30">
        <v>540</v>
      </c>
      <c r="AA347" s="28">
        <v>569</v>
      </c>
      <c r="AB347" s="30"/>
      <c r="AC347" s="31">
        <v>2</v>
      </c>
      <c r="AD347" s="53">
        <v>6</v>
      </c>
      <c r="AE347" s="30" t="s">
        <v>814</v>
      </c>
      <c r="AF347" s="30" t="str">
        <f ca="1">Sprache!$A$101</f>
        <v>Zestaw (prawy+lewy)</v>
      </c>
      <c r="AG347" s="30" t="s">
        <v>26</v>
      </c>
      <c r="AH347" s="30" t="str">
        <f ca="1">Sprache!$A$110</f>
        <v>Siłownik A</v>
      </c>
      <c r="AI347" s="30" t="str">
        <f ca="1">Sprache!$A$137</f>
        <v>Adapter do ram aluminiowych, do Kinvaro S-35 zest.</v>
      </c>
      <c r="AJ347" s="243" t="s">
        <v>819</v>
      </c>
      <c r="AK347" s="30">
        <v>450</v>
      </c>
      <c r="AL347" s="28">
        <v>1200</v>
      </c>
      <c r="AM347" s="30"/>
      <c r="AN347" s="28"/>
      <c r="AO347"/>
      <c r="AR347"/>
      <c r="AS347"/>
      <c r="AT347"/>
      <c r="AU347"/>
      <c r="AV347"/>
    </row>
    <row r="348" spans="1:48" x14ac:dyDescent="0.25">
      <c r="A348" t="str">
        <f t="shared" ca="1" si="12"/>
        <v/>
      </c>
      <c r="B348" t="str">
        <f t="shared" ca="1" si="13"/>
        <v/>
      </c>
      <c r="C348" s="79">
        <f>IF('Material+Limits'!$P$5=TRUE,1,0)</f>
        <v>0</v>
      </c>
      <c r="D348" s="39">
        <f>IF(Daten!$O348+Daten!$P348+Daten!$R348=3,1,0)</f>
        <v>1</v>
      </c>
      <c r="E348" s="184">
        <f ca="1">IF(AND('Material+Limits'!$Q$21=TRUE,Daten!N348=1)=TRUE,1,0)</f>
        <v>0</v>
      </c>
      <c r="F348" s="185">
        <f>IF(AND('Material+Limits'!$Q$25=TRUE,Daten!M348=1)=TRUE,1,0)</f>
        <v>0</v>
      </c>
      <c r="G348" s="185">
        <f>IF(AND('Material+Limits'!$Q$24=TRUE,Daten!L348=1)=TRUE,1,0)</f>
        <v>0</v>
      </c>
      <c r="H348" s="185">
        <f>IF(AND('Material+Limits'!$Q$23=TRUE,Daten!K348=1)=TRUE,1,0)</f>
        <v>0</v>
      </c>
      <c r="I348" s="185">
        <f>IF(AND('Material+Limits'!$Q$22=TRUE,Daten!J348=1)=TRUE,1,0)</f>
        <v>0</v>
      </c>
      <c r="J348" s="158">
        <f>IF(Daten!$U348=13,1,0)</f>
        <v>1</v>
      </c>
      <c r="K348" s="159">
        <f>IF(Daten!$U348&lt;&gt;Daten!$V348,1,IF(Daten!$U348=14,1,0))</f>
        <v>1</v>
      </c>
      <c r="L348" s="159">
        <f>IF(Daten!$U348&lt;&gt;Daten!$V348,1,IF(Daten!$U348=16,1,0))</f>
        <v>1</v>
      </c>
      <c r="M348" s="159">
        <f>IF(Daten!$V348=17,1,0)</f>
        <v>1</v>
      </c>
      <c r="N348" s="160">
        <f ca="1">IF(Daten!$W348=Sprache!$A$60,1,0)</f>
        <v>0</v>
      </c>
      <c r="O348" s="171">
        <f>IF(AND(Daten!$AK348&lt;=KINVARO!$AW$3,Daten!$AL348&gt;=KINVARO!$AW$3)=TRUE,1,0)</f>
        <v>1</v>
      </c>
      <c r="P348" s="172">
        <f>IF(AND(Daten!$Z348&lt;=KINVARO!$AW$4,Daten!$AA348&gt;=KINVARO!$AW$4)=TRUE,1,0)</f>
        <v>1</v>
      </c>
      <c r="Q348" s="172"/>
      <c r="R348" s="172">
        <f>IF(AND(Daten!$AC348&lt;='Material+Limits'!$I$58,Daten!$AD348&gt;='Material+Limits'!$I$58)=TRUE,1,0)</f>
        <v>1</v>
      </c>
      <c r="S348" s="23">
        <f ca="1">IF(Daten!$X348=Sprache!$A$125,1,0)</f>
        <v>1</v>
      </c>
      <c r="T348" s="24" t="str">
        <f ca="1">Sprache!$A$59</f>
        <v>Podnośnik S-35</v>
      </c>
      <c r="U348" s="27">
        <v>13</v>
      </c>
      <c r="V348" s="23">
        <v>17</v>
      </c>
      <c r="W348" s="25">
        <f ca="1">Sprache!$A$132</f>
        <v>0</v>
      </c>
      <c r="X348" s="25">
        <f ca="1">Sprache!$A$126</f>
        <v>0</v>
      </c>
      <c r="Y348" s="25" t="str">
        <f ca="1">Sprache!$A$69</f>
        <v>Front</v>
      </c>
      <c r="Z348" s="25">
        <v>540</v>
      </c>
      <c r="AA348" s="24">
        <v>569</v>
      </c>
      <c r="AB348" s="25"/>
      <c r="AC348" s="26">
        <v>5</v>
      </c>
      <c r="AD348" s="54">
        <v>12.5</v>
      </c>
      <c r="AE348" s="25" t="s">
        <v>815</v>
      </c>
      <c r="AF348" s="25" t="str">
        <f ca="1">Sprache!$A$101</f>
        <v>Zestaw (prawy+lewy)</v>
      </c>
      <c r="AG348" s="25" t="s">
        <v>26</v>
      </c>
      <c r="AH348" s="25" t="str">
        <f ca="1">Sprache!$A$111</f>
        <v>Siłownik B</v>
      </c>
      <c r="AI348" s="25" t="str">
        <f ca="1">Sprache!$A$137</f>
        <v>Adapter do ram aluminiowych, do Kinvaro S-35 zest.</v>
      </c>
      <c r="AJ348" s="242" t="s">
        <v>819</v>
      </c>
      <c r="AK348" s="25">
        <v>450</v>
      </c>
      <c r="AL348" s="24">
        <v>1200</v>
      </c>
      <c r="AM348" s="30"/>
      <c r="AN348" s="24"/>
      <c r="AO348"/>
      <c r="AR348"/>
      <c r="AS348"/>
      <c r="AT348"/>
      <c r="AU348"/>
      <c r="AV348"/>
    </row>
    <row r="349" spans="1:48" s="5" customFormat="1" x14ac:dyDescent="0.25">
      <c r="A349" t="str">
        <f t="shared" ca="1" si="12"/>
        <v/>
      </c>
      <c r="B349" t="str">
        <f t="shared" ca="1" si="13"/>
        <v/>
      </c>
      <c r="C349" s="79">
        <f>IF('Material+Limits'!$P$5=TRUE,1,0)</f>
        <v>0</v>
      </c>
      <c r="D349" s="39">
        <f>IF(Daten!$O349+Daten!$P349+Daten!$R349=3,1,0)</f>
        <v>1</v>
      </c>
      <c r="E349" s="184">
        <f ca="1">IF(AND('Material+Limits'!$Q$21=TRUE,Daten!N349=1)=TRUE,1,0)</f>
        <v>0</v>
      </c>
      <c r="F349" s="185">
        <f>IF(AND('Material+Limits'!$Q$25=TRUE,Daten!M349=1)=TRUE,1,0)</f>
        <v>0</v>
      </c>
      <c r="G349" s="185">
        <f>IF(AND('Material+Limits'!$Q$24=TRUE,Daten!L349=1)=TRUE,1,0)</f>
        <v>0</v>
      </c>
      <c r="H349" s="185">
        <f>IF(AND('Material+Limits'!$Q$23=TRUE,Daten!K349=1)=TRUE,1,0)</f>
        <v>0</v>
      </c>
      <c r="I349" s="185">
        <f>IF(AND('Material+Limits'!$Q$22=TRUE,Daten!J349=1)=TRUE,1,0)</f>
        <v>0</v>
      </c>
      <c r="J349" s="155">
        <f>IF(Daten!$U349=13,1,0)</f>
        <v>1</v>
      </c>
      <c r="K349" s="156">
        <f>IF(Daten!$U349&lt;&gt;Daten!$V349,1,IF(Daten!$U349=14,1,0))</f>
        <v>1</v>
      </c>
      <c r="L349" s="156">
        <f>IF(Daten!$U349&lt;&gt;Daten!$V349,1,IF(Daten!$U349=16,1,0))</f>
        <v>1</v>
      </c>
      <c r="M349" s="156">
        <f>IF(Daten!$V349=17,1,0)</f>
        <v>1</v>
      </c>
      <c r="N349" s="157">
        <f ca="1">IF(Daten!$W349=Sprache!$A$60,1,0)</f>
        <v>0</v>
      </c>
      <c r="O349" s="169">
        <f>IF(AND(Daten!$AK349&lt;=KINVARO!$AW$3,Daten!$AL349&gt;=KINVARO!$AW$3)=TRUE,1,0)</f>
        <v>1</v>
      </c>
      <c r="P349" s="170">
        <f>IF(AND(Daten!$Z349&lt;=KINVARO!$AW$4,Daten!$AA349&gt;=KINVARO!$AW$4)=TRUE,1,0)</f>
        <v>1</v>
      </c>
      <c r="Q349" s="170"/>
      <c r="R349" s="170">
        <f>IF(AND(Daten!$AC349&lt;='Material+Limits'!$I$58,Daten!$AD349&gt;='Material+Limits'!$I$58)=TRUE,1,0)</f>
        <v>1</v>
      </c>
      <c r="S349" s="29">
        <f ca="1">IF(Daten!$X349=Sprache!$A$125,1,0)</f>
        <v>1</v>
      </c>
      <c r="T349" s="28" t="str">
        <f ca="1">Sprache!$A$59</f>
        <v>Podnośnik S-35</v>
      </c>
      <c r="U349" s="32">
        <v>13</v>
      </c>
      <c r="V349" s="29">
        <v>17</v>
      </c>
      <c r="W349" s="30">
        <f ca="1">Sprache!$A$132</f>
        <v>0</v>
      </c>
      <c r="X349" s="30">
        <f ca="1">Sprache!$A$126</f>
        <v>0</v>
      </c>
      <c r="Y349" s="30" t="str">
        <f ca="1">Sprache!$A$69</f>
        <v>Front</v>
      </c>
      <c r="Z349" s="30">
        <v>540</v>
      </c>
      <c r="AA349" s="28">
        <v>569</v>
      </c>
      <c r="AB349" s="30"/>
      <c r="AC349" s="31">
        <v>6</v>
      </c>
      <c r="AD349" s="53">
        <v>14</v>
      </c>
      <c r="AE349" s="30" t="s">
        <v>816</v>
      </c>
      <c r="AF349" s="30" t="str">
        <f ca="1">Sprache!$A$101</f>
        <v>Zestaw (prawy+lewy)</v>
      </c>
      <c r="AG349" s="30" t="s">
        <v>26</v>
      </c>
      <c r="AH349" s="30" t="str">
        <f ca="1">Sprache!$A$112</f>
        <v>Siłownik C</v>
      </c>
      <c r="AI349" s="30" t="str">
        <f ca="1">Sprache!$A$137</f>
        <v>Adapter do ram aluminiowych, do Kinvaro S-35 zest.</v>
      </c>
      <c r="AJ349" s="243" t="s">
        <v>819</v>
      </c>
      <c r="AK349" s="30">
        <v>450</v>
      </c>
      <c r="AL349" s="28">
        <v>1200</v>
      </c>
      <c r="AM349" s="30"/>
      <c r="AN349" s="28"/>
    </row>
    <row r="350" spans="1:48" x14ac:dyDescent="0.25">
      <c r="A350" t="str">
        <f t="shared" ca="1" si="11"/>
        <v/>
      </c>
      <c r="B350" t="str">
        <f t="shared" ca="1" si="10"/>
        <v/>
      </c>
      <c r="C350" s="79">
        <f>IF('Material+Limits'!$P$5=TRUE,1,0)</f>
        <v>0</v>
      </c>
      <c r="D350" s="39">
        <f>IF(Daten!$O350+Daten!$P350+Daten!$R350=3,1,0)</f>
        <v>0</v>
      </c>
      <c r="E350" s="184">
        <f ca="1">IF(AND('Material+Limits'!$Q$21=TRUE,Daten!N350=1)=TRUE,1,0)</f>
        <v>1</v>
      </c>
      <c r="F350" s="185">
        <f ca="1">IF(AND('Material+Limits'!$Q$25=TRUE,Daten!M350=1)=TRUE,1,0)</f>
        <v>0</v>
      </c>
      <c r="G350" s="185">
        <f ca="1">IF(AND('Material+Limits'!$Q$24=TRUE,Daten!L350=1)=TRUE,1,0)</f>
        <v>0</v>
      </c>
      <c r="H350" s="185">
        <f ca="1">IF(AND('Material+Limits'!$Q$23=TRUE,Daten!K350=1)=TRUE,1,0)</f>
        <v>0</v>
      </c>
      <c r="I350" s="185">
        <f ca="1">IF(AND('Material+Limits'!$Q$22=TRUE,Daten!J350=1)=TRUE,1,0)</f>
        <v>0</v>
      </c>
      <c r="J350" s="158">
        <f ca="1">IF(Daten!$U350=13,1,0)</f>
        <v>0</v>
      </c>
      <c r="K350" s="159">
        <f ca="1">IF(Daten!$U350&lt;&gt;Daten!$V350,1,IF(Daten!$U350=14,1,0))</f>
        <v>0</v>
      </c>
      <c r="L350" s="159">
        <f ca="1">IF(Daten!$U350&lt;&gt;Daten!$V350,1,IF(Daten!$U350=16,1,0))</f>
        <v>0</v>
      </c>
      <c r="M350" s="159">
        <f ca="1">IF(Daten!$V350=17,1,0)</f>
        <v>0</v>
      </c>
      <c r="N350" s="160">
        <f ca="1">IF(Daten!$W350=Sprache!$A$60,1,0)</f>
        <v>1</v>
      </c>
      <c r="O350" s="173">
        <f>IF(AND(Daten!$AK350&lt;=KINVARO!$AW$3,Daten!$AL350&gt;=KINVARO!$AW$3)=TRUE,1,0)</f>
        <v>1</v>
      </c>
      <c r="P350" s="174">
        <f>IF(AND(Daten!$Z350&lt;=KINVARO!$AW$4,Daten!$AA350&gt;=KINVARO!$AW$4)=TRUE,1,0)</f>
        <v>0</v>
      </c>
      <c r="Q350" s="174"/>
      <c r="R350" s="174">
        <f>IF(AND(Daten!$AC350&lt;='Material+Limits'!$I$58,Daten!$AD350&gt;='Material+Limits'!$I$58)=TRUE,1,0)</f>
        <v>0</v>
      </c>
      <c r="S350" s="38">
        <f ca="1">IF(Daten!$X350=Sprache!$A$125,1,0)</f>
        <v>1</v>
      </c>
      <c r="T350" s="57" t="str">
        <f ca="1">Sprache!$A$59</f>
        <v>Podnośnik S-35</v>
      </c>
      <c r="U350" s="55">
        <f ca="1">Sprache!$A$64</f>
        <v>0</v>
      </c>
      <c r="V350" s="38">
        <f ca="1">Sprache!$A$64</f>
        <v>0</v>
      </c>
      <c r="W350" s="56" t="str">
        <f ca="1">Sprache!$A$60</f>
        <v>Front lity (drewno/płyta)</v>
      </c>
      <c r="X350" s="25">
        <f ca="1">Sprache!$A$126</f>
        <v>0</v>
      </c>
      <c r="Y350" s="56" t="str">
        <f ca="1">Sprache!$A$69</f>
        <v>Front</v>
      </c>
      <c r="Z350" s="56">
        <v>570</v>
      </c>
      <c r="AA350" s="57">
        <v>599</v>
      </c>
      <c r="AB350" s="56"/>
      <c r="AC350" s="58">
        <v>2</v>
      </c>
      <c r="AD350" s="59">
        <v>6</v>
      </c>
      <c r="AE350" s="56" t="s">
        <v>814</v>
      </c>
      <c r="AF350" s="56" t="str">
        <f ca="1">Sprache!$A$101</f>
        <v>Zestaw (prawy+lewy)</v>
      </c>
      <c r="AG350" s="56" t="s">
        <v>26</v>
      </c>
      <c r="AH350" s="56" t="str">
        <f ca="1">Sprache!$A$110</f>
        <v>Siłownik A</v>
      </c>
      <c r="AI350" s="56" t="s">
        <v>26</v>
      </c>
      <c r="AJ350" s="56" t="s">
        <v>26</v>
      </c>
      <c r="AK350" s="56">
        <v>450</v>
      </c>
      <c r="AL350" s="57">
        <v>1200</v>
      </c>
      <c r="AM350" s="30"/>
      <c r="AN350" s="24"/>
      <c r="AO350"/>
      <c r="AR350"/>
      <c r="AS350"/>
      <c r="AT350"/>
      <c r="AU350"/>
      <c r="AV350"/>
    </row>
    <row r="351" spans="1:48" x14ac:dyDescent="0.25">
      <c r="A351" t="str">
        <f t="shared" ca="1" si="11"/>
        <v/>
      </c>
      <c r="B351" t="str">
        <f t="shared" ca="1" si="10"/>
        <v/>
      </c>
      <c r="C351" s="79">
        <f>IF('Material+Limits'!$P$5=TRUE,1,0)</f>
        <v>0</v>
      </c>
      <c r="D351" s="39">
        <f>IF(Daten!$O351+Daten!$P351+Daten!$R351=3,1,0)</f>
        <v>0</v>
      </c>
      <c r="E351" s="184">
        <f ca="1">IF(AND('Material+Limits'!$Q$21=TRUE,Daten!N351=1)=TRUE,1,0)</f>
        <v>1</v>
      </c>
      <c r="F351" s="185">
        <f ca="1">IF(AND('Material+Limits'!$Q$25=TRUE,Daten!M351=1)=TRUE,1,0)</f>
        <v>0</v>
      </c>
      <c r="G351" s="185">
        <f ca="1">IF(AND('Material+Limits'!$Q$24=TRUE,Daten!L351=1)=TRUE,1,0)</f>
        <v>0</v>
      </c>
      <c r="H351" s="185">
        <f ca="1">IF(AND('Material+Limits'!$Q$23=TRUE,Daten!K351=1)=TRUE,1,0)</f>
        <v>0</v>
      </c>
      <c r="I351" s="185">
        <f ca="1">IF(AND('Material+Limits'!$Q$22=TRUE,Daten!J351=1)=TRUE,1,0)</f>
        <v>0</v>
      </c>
      <c r="J351" s="155">
        <f ca="1">IF(Daten!$U351=13,1,0)</f>
        <v>0</v>
      </c>
      <c r="K351" s="156">
        <f ca="1">IF(Daten!$U351&lt;&gt;Daten!$V351,1,IF(Daten!$U351=14,1,0))</f>
        <v>0</v>
      </c>
      <c r="L351" s="156">
        <f ca="1">IF(Daten!$U351&lt;&gt;Daten!$V351,1,IF(Daten!$U351=16,1,0))</f>
        <v>0</v>
      </c>
      <c r="M351" s="156">
        <f ca="1">IF(Daten!$V351=17,1,0)</f>
        <v>0</v>
      </c>
      <c r="N351" s="157">
        <f ca="1">IF(Daten!$W351=Sprache!$A$60,1,0)</f>
        <v>1</v>
      </c>
      <c r="O351" s="169">
        <f>IF(AND(Daten!$AK351&lt;=KINVARO!$AW$3,Daten!$AL351&gt;=KINVARO!$AW$3)=TRUE,1,0)</f>
        <v>1</v>
      </c>
      <c r="P351" s="170">
        <f>IF(AND(Daten!$Z351&lt;=KINVARO!$AW$4,Daten!$AA351&gt;=KINVARO!$AW$4)=TRUE,1,0)</f>
        <v>0</v>
      </c>
      <c r="R351" s="170">
        <f>IF(AND(Daten!$AC351&lt;='Material+Limits'!$I$58,Daten!$AD351&gt;='Material+Limits'!$I$58)=TRUE,1,0)</f>
        <v>1</v>
      </c>
      <c r="S351" s="29">
        <f ca="1">IF(Daten!$X351=Sprache!$A$125,1,0)</f>
        <v>1</v>
      </c>
      <c r="T351" s="28" t="str">
        <f ca="1">Sprache!$A$59</f>
        <v>Podnośnik S-35</v>
      </c>
      <c r="U351" s="32">
        <f ca="1">Sprache!$A$64</f>
        <v>0</v>
      </c>
      <c r="V351" s="29">
        <f ca="1">Sprache!$A$64</f>
        <v>0</v>
      </c>
      <c r="W351" s="30" t="str">
        <f ca="1">Sprache!$A$60</f>
        <v>Front lity (drewno/płyta)</v>
      </c>
      <c r="X351" s="30">
        <f ca="1">Sprache!$A$126</f>
        <v>0</v>
      </c>
      <c r="Y351" s="30" t="str">
        <f ca="1">Sprache!$A$69</f>
        <v>Front</v>
      </c>
      <c r="Z351" s="30">
        <v>570</v>
      </c>
      <c r="AA351" s="28">
        <v>599</v>
      </c>
      <c r="AB351" s="30"/>
      <c r="AC351" s="31">
        <v>5</v>
      </c>
      <c r="AD351" s="53">
        <v>11</v>
      </c>
      <c r="AE351" s="30" t="s">
        <v>815</v>
      </c>
      <c r="AF351" s="30" t="str">
        <f ca="1">Sprache!$A$101</f>
        <v>Zestaw (prawy+lewy)</v>
      </c>
      <c r="AG351" s="30" t="s">
        <v>26</v>
      </c>
      <c r="AH351" s="30" t="str">
        <f ca="1">Sprache!$A$111</f>
        <v>Siłownik B</v>
      </c>
      <c r="AI351" s="30" t="s">
        <v>26</v>
      </c>
      <c r="AJ351" s="30" t="s">
        <v>26</v>
      </c>
      <c r="AK351" s="30">
        <v>450</v>
      </c>
      <c r="AL351" s="28">
        <v>1200</v>
      </c>
      <c r="AM351" s="30"/>
      <c r="AN351" s="28"/>
      <c r="AO351"/>
      <c r="AR351"/>
      <c r="AS351"/>
      <c r="AT351"/>
      <c r="AU351"/>
      <c r="AV351"/>
    </row>
    <row r="352" spans="1:48" x14ac:dyDescent="0.25">
      <c r="A352" t="str">
        <f t="shared" ca="1" si="11"/>
        <v/>
      </c>
      <c r="B352" t="str">
        <f t="shared" ca="1" si="10"/>
        <v/>
      </c>
      <c r="C352" s="79">
        <f>IF('Material+Limits'!$P$5=TRUE,1,0)</f>
        <v>0</v>
      </c>
      <c r="D352" s="39">
        <f>IF(Daten!$O352+Daten!$P352+Daten!$R352=3,1,0)</f>
        <v>0</v>
      </c>
      <c r="E352" s="184">
        <f ca="1">IF(AND('Material+Limits'!$Q$21=TRUE,Daten!N352=1)=TRUE,1,0)</f>
        <v>1</v>
      </c>
      <c r="F352" s="185">
        <f ca="1">IF(AND('Material+Limits'!$Q$25=TRUE,Daten!M352=1)=TRUE,1,0)</f>
        <v>0</v>
      </c>
      <c r="G352" s="185">
        <f ca="1">IF(AND('Material+Limits'!$Q$24=TRUE,Daten!L352=1)=TRUE,1,0)</f>
        <v>0</v>
      </c>
      <c r="H352" s="185">
        <f ca="1">IF(AND('Material+Limits'!$Q$23=TRUE,Daten!K352=1)=TRUE,1,0)</f>
        <v>0</v>
      </c>
      <c r="I352" s="185">
        <f ca="1">IF(AND('Material+Limits'!$Q$22=TRUE,Daten!J352=1)=TRUE,1,0)</f>
        <v>0</v>
      </c>
      <c r="J352" s="158">
        <f ca="1">IF(Daten!$U352=13,1,0)</f>
        <v>0</v>
      </c>
      <c r="K352" s="159">
        <f ca="1">IF(Daten!$U352&lt;&gt;Daten!$V352,1,IF(Daten!$U352=14,1,0))</f>
        <v>0</v>
      </c>
      <c r="L352" s="159">
        <f ca="1">IF(Daten!$U352&lt;&gt;Daten!$V352,1,IF(Daten!$U352=16,1,0))</f>
        <v>0</v>
      </c>
      <c r="M352" s="159">
        <f ca="1">IF(Daten!$V352=17,1,0)</f>
        <v>0</v>
      </c>
      <c r="N352" s="160">
        <f ca="1">IF(Daten!$W352=Sprache!$A$60,1,0)</f>
        <v>1</v>
      </c>
      <c r="O352" s="171">
        <f>IF(AND(Daten!$AK352&lt;=KINVARO!$AW$3,Daten!$AL352&gt;=KINVARO!$AW$3)=TRUE,1,0)</f>
        <v>1</v>
      </c>
      <c r="P352" s="172">
        <f>IF(AND(Daten!$Z352&lt;=KINVARO!$AW$4,Daten!$AA352&gt;=KINVARO!$AW$4)=TRUE,1,0)</f>
        <v>0</v>
      </c>
      <c r="Q352" s="172"/>
      <c r="R352" s="172">
        <f>IF(AND(Daten!$AC352&lt;='Material+Limits'!$I$58,Daten!$AD352&gt;='Material+Limits'!$I$58)=TRUE,1,0)</f>
        <v>1</v>
      </c>
      <c r="S352" s="23">
        <f ca="1">IF(Daten!$X352=Sprache!$A$125,1,0)</f>
        <v>1</v>
      </c>
      <c r="T352" s="24" t="str">
        <f ca="1">Sprache!$A$59</f>
        <v>Podnośnik S-35</v>
      </c>
      <c r="U352" s="27">
        <f ca="1">Sprache!$A$64</f>
        <v>0</v>
      </c>
      <c r="V352" s="23">
        <f ca="1">Sprache!$A$64</f>
        <v>0</v>
      </c>
      <c r="W352" s="25" t="str">
        <f ca="1">Sprache!$A$60</f>
        <v>Front lity (drewno/płyta)</v>
      </c>
      <c r="X352" s="25">
        <f ca="1">Sprache!$A$126</f>
        <v>0</v>
      </c>
      <c r="Y352" s="25" t="str">
        <f ca="1">Sprache!$A$69</f>
        <v>Front</v>
      </c>
      <c r="Z352" s="25">
        <v>570</v>
      </c>
      <c r="AA352" s="24">
        <v>599</v>
      </c>
      <c r="AB352" s="25"/>
      <c r="AC352" s="26">
        <v>5.5</v>
      </c>
      <c r="AD352" s="54">
        <v>12</v>
      </c>
      <c r="AE352" s="25" t="s">
        <v>816</v>
      </c>
      <c r="AF352" s="25" t="str">
        <f ca="1">Sprache!$A$101</f>
        <v>Zestaw (prawy+lewy)</v>
      </c>
      <c r="AG352" s="25" t="s">
        <v>26</v>
      </c>
      <c r="AH352" s="25" t="str">
        <f ca="1">Sprache!$A$112</f>
        <v>Siłownik C</v>
      </c>
      <c r="AI352" s="25" t="s">
        <v>26</v>
      </c>
      <c r="AJ352" s="25" t="s">
        <v>26</v>
      </c>
      <c r="AK352" s="25">
        <v>450</v>
      </c>
      <c r="AL352" s="24">
        <v>1200</v>
      </c>
      <c r="AM352" s="30"/>
      <c r="AN352" s="24"/>
      <c r="AO352"/>
      <c r="AR352"/>
      <c r="AS352"/>
      <c r="AT352"/>
      <c r="AU352"/>
      <c r="AV352"/>
    </row>
    <row r="353" spans="1:48" x14ac:dyDescent="0.25">
      <c r="A353" t="str">
        <f t="shared" ca="1" si="11"/>
        <v/>
      </c>
      <c r="B353" t="str">
        <f t="shared" ca="1" si="10"/>
        <v/>
      </c>
      <c r="C353" s="79">
        <f>IF('Material+Limits'!$P$5=TRUE,1,0)</f>
        <v>0</v>
      </c>
      <c r="D353" s="39">
        <f>IF(Daten!$O353+Daten!$P353+Daten!$R353=3,1,0)</f>
        <v>0</v>
      </c>
      <c r="E353" s="184">
        <f ca="1">IF(AND('Material+Limits'!$Q$21=TRUE,Daten!N353=1)=TRUE,1,0)</f>
        <v>1</v>
      </c>
      <c r="F353" s="185">
        <f ca="1">IF(AND('Material+Limits'!$Q$25=TRUE,Daten!M353=1)=TRUE,1,0)</f>
        <v>0</v>
      </c>
      <c r="G353" s="185">
        <f ca="1">IF(AND('Material+Limits'!$Q$24=TRUE,Daten!L353=1)=TRUE,1,0)</f>
        <v>0</v>
      </c>
      <c r="H353" s="185">
        <f ca="1">IF(AND('Material+Limits'!$Q$23=TRUE,Daten!K353=1)=TRUE,1,0)</f>
        <v>0</v>
      </c>
      <c r="I353" s="185">
        <f ca="1">IF(AND('Material+Limits'!$Q$22=TRUE,Daten!J353=1)=TRUE,1,0)</f>
        <v>0</v>
      </c>
      <c r="J353" s="155">
        <f ca="1">IF(Daten!$U353=13,1,0)</f>
        <v>0</v>
      </c>
      <c r="K353" s="156">
        <f ca="1">IF(Daten!$U353&lt;&gt;Daten!$V353,1,IF(Daten!$U353=14,1,0))</f>
        <v>0</v>
      </c>
      <c r="L353" s="156">
        <f ca="1">IF(Daten!$U353&lt;&gt;Daten!$V353,1,IF(Daten!$U353=16,1,0))</f>
        <v>0</v>
      </c>
      <c r="M353" s="156">
        <f ca="1">IF(Daten!$V353=17,1,0)</f>
        <v>0</v>
      </c>
      <c r="N353" s="157">
        <f ca="1">IF(Daten!$W353=Sprache!$A$60,1,0)</f>
        <v>1</v>
      </c>
      <c r="O353" s="169">
        <f>IF(AND(Daten!$AK353&lt;=KINVARO!$AW$3,Daten!$AL353&gt;=KINVARO!$AW$3)=TRUE,1,0)</f>
        <v>1</v>
      </c>
      <c r="P353" s="170">
        <f>IF(AND(Daten!$Z353&lt;=KINVARO!$AW$4,Daten!$AA353&gt;=KINVARO!$AW$4)=TRUE,1,0)</f>
        <v>0</v>
      </c>
      <c r="R353" s="170">
        <f>IF(AND(Daten!$AC353&lt;='Material+Limits'!$I$58,Daten!$AD353&gt;='Material+Limits'!$I$58)=TRUE,1,0)</f>
        <v>0</v>
      </c>
      <c r="S353" s="29">
        <f ca="1">IF(Daten!$X353=Sprache!$A$125,1,0)</f>
        <v>1</v>
      </c>
      <c r="T353" s="28" t="str">
        <f ca="1">Sprache!$A$59</f>
        <v>Podnośnik S-35</v>
      </c>
      <c r="U353" s="32">
        <f ca="1">Sprache!$A$64</f>
        <v>0</v>
      </c>
      <c r="V353" s="29">
        <f ca="1">Sprache!$A$64</f>
        <v>0</v>
      </c>
      <c r="W353" s="30" t="str">
        <f ca="1">Sprache!$A$60</f>
        <v>Front lity (drewno/płyta)</v>
      </c>
      <c r="X353" s="30">
        <f ca="1">Sprache!$A$126</f>
        <v>0</v>
      </c>
      <c r="Y353" s="30" t="str">
        <f ca="1">Sprache!$A$69</f>
        <v>Front</v>
      </c>
      <c r="Z353" s="30">
        <v>570</v>
      </c>
      <c r="AA353" s="28">
        <v>599</v>
      </c>
      <c r="AB353" s="30"/>
      <c r="AC353" s="31">
        <v>11.5</v>
      </c>
      <c r="AD353" s="53">
        <v>14.5</v>
      </c>
      <c r="AE353" s="30" t="s">
        <v>817</v>
      </c>
      <c r="AF353" s="30" t="str">
        <f ca="1">Sprache!$A$101</f>
        <v>Zestaw (prawy+lewy)</v>
      </c>
      <c r="AG353" s="30" t="s">
        <v>26</v>
      </c>
      <c r="AH353" s="30" t="str">
        <f ca="1">Sprache!$A$113</f>
        <v>Siłownik D</v>
      </c>
      <c r="AI353" s="30" t="s">
        <v>26</v>
      </c>
      <c r="AJ353" s="30" t="s">
        <v>26</v>
      </c>
      <c r="AK353" s="30">
        <v>450</v>
      </c>
      <c r="AL353" s="28">
        <v>1200</v>
      </c>
      <c r="AM353" s="30"/>
      <c r="AN353" s="28"/>
      <c r="AO353"/>
      <c r="AR353"/>
      <c r="AS353"/>
      <c r="AT353"/>
      <c r="AU353"/>
      <c r="AV353"/>
    </row>
    <row r="354" spans="1:48" x14ac:dyDescent="0.25">
      <c r="A354" t="str">
        <f t="shared" ca="1" si="11"/>
        <v/>
      </c>
      <c r="B354" t="str">
        <f t="shared" ca="1" si="10"/>
        <v/>
      </c>
      <c r="C354" s="79">
        <f>IF('Material+Limits'!$P$5=TRUE,1,0)</f>
        <v>0</v>
      </c>
      <c r="D354" s="39">
        <f>IF(Daten!$O354+Daten!$P354+Daten!$R354=3,1,0)</f>
        <v>0</v>
      </c>
      <c r="E354" s="184">
        <f ca="1">IF(AND('Material+Limits'!$Q$21=TRUE,Daten!N354=1)=TRUE,1,0)</f>
        <v>0</v>
      </c>
      <c r="F354" s="185">
        <f>IF(AND('Material+Limits'!$Q$25=TRUE,Daten!M354=1)=TRUE,1,0)</f>
        <v>0</v>
      </c>
      <c r="G354" s="185">
        <f>IF(AND('Material+Limits'!$Q$24=TRUE,Daten!L354=1)=TRUE,1,0)</f>
        <v>0</v>
      </c>
      <c r="H354" s="185">
        <f>IF(AND('Material+Limits'!$Q$23=TRUE,Daten!K354=1)=TRUE,1,0)</f>
        <v>0</v>
      </c>
      <c r="I354" s="185">
        <f>IF(AND('Material+Limits'!$Q$22=TRUE,Daten!J354=1)=TRUE,1,0)</f>
        <v>0</v>
      </c>
      <c r="J354" s="158">
        <f>IF(Daten!$U354=13,1,0)</f>
        <v>1</v>
      </c>
      <c r="K354" s="159">
        <f>IF(Daten!$U354&lt;&gt;Daten!$V354,1,IF(Daten!$U354=14,1,0))</f>
        <v>1</v>
      </c>
      <c r="L354" s="159">
        <f>IF(Daten!$U354&lt;&gt;Daten!$V354,1,IF(Daten!$U354=16,1,0))</f>
        <v>1</v>
      </c>
      <c r="M354" s="159">
        <f>IF(Daten!$V354=17,1,0)</f>
        <v>1</v>
      </c>
      <c r="N354" s="160">
        <f ca="1">IF(Daten!$W354=Sprache!$A$60,1,0)</f>
        <v>0</v>
      </c>
      <c r="O354" s="171">
        <f>IF(AND(Daten!$AK354&lt;=KINVARO!$AW$3,Daten!$AL354&gt;=KINVARO!$AW$3)=TRUE,1,0)</f>
        <v>1</v>
      </c>
      <c r="P354" s="172">
        <f>IF(AND(Daten!$Z354&lt;=KINVARO!$AW$4,Daten!$AA354&gt;=KINVARO!$AW$4)=TRUE,1,0)</f>
        <v>0</v>
      </c>
      <c r="Q354" s="172"/>
      <c r="R354" s="172">
        <f>IF(AND(Daten!$AC354&lt;='Material+Limits'!$I$58,Daten!$AD354&gt;='Material+Limits'!$I$58)=TRUE,1,0)</f>
        <v>0</v>
      </c>
      <c r="S354" s="23">
        <f ca="1">IF(Daten!$X354=Sprache!$A$125,1,0)</f>
        <v>1</v>
      </c>
      <c r="T354" s="24" t="str">
        <f ca="1">Sprache!$A$59</f>
        <v>Podnośnik S-35</v>
      </c>
      <c r="U354" s="27">
        <v>13</v>
      </c>
      <c r="V354" s="23">
        <v>17</v>
      </c>
      <c r="W354" s="25">
        <f ca="1">Sprache!$A$132</f>
        <v>0</v>
      </c>
      <c r="X354" s="25">
        <f ca="1">Sprache!$A$126</f>
        <v>0</v>
      </c>
      <c r="Y354" s="25" t="str">
        <f ca="1">Sprache!$A$69</f>
        <v>Front</v>
      </c>
      <c r="Z354" s="25">
        <v>570</v>
      </c>
      <c r="AA354" s="24">
        <v>599</v>
      </c>
      <c r="AB354" s="25"/>
      <c r="AC354" s="26">
        <v>2</v>
      </c>
      <c r="AD354" s="54">
        <v>6</v>
      </c>
      <c r="AE354" s="25" t="s">
        <v>814</v>
      </c>
      <c r="AF354" s="25" t="str">
        <f ca="1">Sprache!$A$101</f>
        <v>Zestaw (prawy+lewy)</v>
      </c>
      <c r="AG354" s="25" t="s">
        <v>26</v>
      </c>
      <c r="AH354" s="25" t="str">
        <f ca="1">Sprache!$A$110</f>
        <v>Siłownik A</v>
      </c>
      <c r="AI354" s="25" t="str">
        <f ca="1">Sprache!$A$137</f>
        <v>Adapter do ram aluminiowych, do Kinvaro S-35 zest.</v>
      </c>
      <c r="AJ354" s="242" t="s">
        <v>819</v>
      </c>
      <c r="AK354" s="25">
        <v>450</v>
      </c>
      <c r="AL354" s="24">
        <v>1200</v>
      </c>
      <c r="AM354" s="30"/>
      <c r="AN354" s="24"/>
      <c r="AO354"/>
      <c r="AR354"/>
      <c r="AS354"/>
      <c r="AT354"/>
      <c r="AU354"/>
      <c r="AV354"/>
    </row>
    <row r="355" spans="1:48" x14ac:dyDescent="0.25">
      <c r="A355" t="str">
        <f t="shared" ca="1" si="11"/>
        <v/>
      </c>
      <c r="B355" t="str">
        <f t="shared" ca="1" si="10"/>
        <v/>
      </c>
      <c r="C355" s="79">
        <f>IF('Material+Limits'!$P$5=TRUE,1,0)</f>
        <v>0</v>
      </c>
      <c r="D355" s="39">
        <f>IF(Daten!$O355+Daten!$P355+Daten!$R355=3,1,0)</f>
        <v>0</v>
      </c>
      <c r="E355" s="184">
        <f ca="1">IF(AND('Material+Limits'!$Q$21=TRUE,Daten!N355=1)=TRUE,1,0)</f>
        <v>0</v>
      </c>
      <c r="F355" s="185">
        <f>IF(AND('Material+Limits'!$Q$25=TRUE,Daten!M355=1)=TRUE,1,0)</f>
        <v>0</v>
      </c>
      <c r="G355" s="185">
        <f>IF(AND('Material+Limits'!$Q$24=TRUE,Daten!L355=1)=TRUE,1,0)</f>
        <v>0</v>
      </c>
      <c r="H355" s="185">
        <f>IF(AND('Material+Limits'!$Q$23=TRUE,Daten!K355=1)=TRUE,1,0)</f>
        <v>0</v>
      </c>
      <c r="I355" s="185">
        <f>IF(AND('Material+Limits'!$Q$22=TRUE,Daten!J355=1)=TRUE,1,0)</f>
        <v>0</v>
      </c>
      <c r="J355" s="155">
        <f>IF(Daten!$U355=13,1,0)</f>
        <v>1</v>
      </c>
      <c r="K355" s="156">
        <f>IF(Daten!$U355&lt;&gt;Daten!$V355,1,IF(Daten!$U355=14,1,0))</f>
        <v>1</v>
      </c>
      <c r="L355" s="156">
        <f>IF(Daten!$U355&lt;&gt;Daten!$V355,1,IF(Daten!$U355=16,1,0))</f>
        <v>1</v>
      </c>
      <c r="M355" s="156">
        <f>IF(Daten!$V355=17,1,0)</f>
        <v>1</v>
      </c>
      <c r="N355" s="157">
        <f ca="1">IF(Daten!$W355=Sprache!$A$60,1,0)</f>
        <v>0</v>
      </c>
      <c r="O355" s="169">
        <f>IF(AND(Daten!$AK355&lt;=KINVARO!$AW$3,Daten!$AL355&gt;=KINVARO!$AW$3)=TRUE,1,0)</f>
        <v>1</v>
      </c>
      <c r="P355" s="170">
        <f>IF(AND(Daten!$Z355&lt;=KINVARO!$AW$4,Daten!$AA355&gt;=KINVARO!$AW$4)=TRUE,1,0)</f>
        <v>0</v>
      </c>
      <c r="R355" s="170">
        <f>IF(AND(Daten!$AC355&lt;='Material+Limits'!$I$58,Daten!$AD355&gt;='Material+Limits'!$I$58)=TRUE,1,0)</f>
        <v>1</v>
      </c>
      <c r="S355" s="29">
        <f ca="1">IF(Daten!$X355=Sprache!$A$125,1,0)</f>
        <v>1</v>
      </c>
      <c r="T355" s="28" t="str">
        <f ca="1">Sprache!$A$59</f>
        <v>Podnośnik S-35</v>
      </c>
      <c r="U355" s="32">
        <v>13</v>
      </c>
      <c r="V355" s="29">
        <v>17</v>
      </c>
      <c r="W355" s="30">
        <f ca="1">Sprache!$A$132</f>
        <v>0</v>
      </c>
      <c r="X355" s="30">
        <f ca="1">Sprache!$A$126</f>
        <v>0</v>
      </c>
      <c r="Y355" s="30" t="str">
        <f ca="1">Sprache!$A$69</f>
        <v>Front</v>
      </c>
      <c r="Z355" s="30">
        <v>570</v>
      </c>
      <c r="AA355" s="28">
        <v>599</v>
      </c>
      <c r="AB355" s="30"/>
      <c r="AC355" s="31">
        <v>5</v>
      </c>
      <c r="AD355" s="53">
        <v>11</v>
      </c>
      <c r="AE355" s="30" t="s">
        <v>815</v>
      </c>
      <c r="AF355" s="30" t="str">
        <f ca="1">Sprache!$A$101</f>
        <v>Zestaw (prawy+lewy)</v>
      </c>
      <c r="AG355" s="30" t="s">
        <v>26</v>
      </c>
      <c r="AH355" s="30" t="str">
        <f ca="1">Sprache!$A$111</f>
        <v>Siłownik B</v>
      </c>
      <c r="AI355" s="30" t="str">
        <f ca="1">Sprache!$A$137</f>
        <v>Adapter do ram aluminiowych, do Kinvaro S-35 zest.</v>
      </c>
      <c r="AJ355" s="243" t="s">
        <v>819</v>
      </c>
      <c r="AK355" s="30">
        <v>450</v>
      </c>
      <c r="AL355" s="28">
        <v>1200</v>
      </c>
      <c r="AM355" s="30"/>
      <c r="AN355" s="28"/>
      <c r="AO355"/>
      <c r="AR355"/>
      <c r="AS355"/>
      <c r="AT355"/>
      <c r="AU355"/>
      <c r="AV355"/>
    </row>
    <row r="356" spans="1:48" x14ac:dyDescent="0.25">
      <c r="A356" t="str">
        <f t="shared" ca="1" si="11"/>
        <v/>
      </c>
      <c r="B356" t="str">
        <f t="shared" ca="1" si="10"/>
        <v/>
      </c>
      <c r="C356" s="79">
        <f>IF('Material+Limits'!$P$5=TRUE,1,0)</f>
        <v>0</v>
      </c>
      <c r="D356" s="39">
        <f>IF(Daten!$O356+Daten!$P356+Daten!$R356=3,1,0)</f>
        <v>0</v>
      </c>
      <c r="E356" s="184">
        <f ca="1">IF(AND('Material+Limits'!$Q$21=TRUE,Daten!N356=1)=TRUE,1,0)</f>
        <v>0</v>
      </c>
      <c r="F356" s="185">
        <f>IF(AND('Material+Limits'!$Q$25=TRUE,Daten!M356=1)=TRUE,1,0)</f>
        <v>0</v>
      </c>
      <c r="G356" s="185">
        <f>IF(AND('Material+Limits'!$Q$24=TRUE,Daten!L356=1)=TRUE,1,0)</f>
        <v>0</v>
      </c>
      <c r="H356" s="185">
        <f>IF(AND('Material+Limits'!$Q$23=TRUE,Daten!K356=1)=TRUE,1,0)</f>
        <v>0</v>
      </c>
      <c r="I356" s="185">
        <f>IF(AND('Material+Limits'!$Q$22=TRUE,Daten!J356=1)=TRUE,1,0)</f>
        <v>0</v>
      </c>
      <c r="J356" s="158">
        <f>IF(Daten!$U356=13,1,0)</f>
        <v>1</v>
      </c>
      <c r="K356" s="159">
        <f>IF(Daten!$U356&lt;&gt;Daten!$V356,1,IF(Daten!$U356=14,1,0))</f>
        <v>1</v>
      </c>
      <c r="L356" s="159">
        <f>IF(Daten!$U356&lt;&gt;Daten!$V356,1,IF(Daten!$U356=16,1,0))</f>
        <v>1</v>
      </c>
      <c r="M356" s="159">
        <f>IF(Daten!$V356=17,1,0)</f>
        <v>1</v>
      </c>
      <c r="N356" s="160">
        <f ca="1">IF(Daten!$W356=Sprache!$A$60,1,0)</f>
        <v>0</v>
      </c>
      <c r="O356" s="171">
        <f>IF(AND(Daten!$AK356&lt;=KINVARO!$AW$3,Daten!$AL356&gt;=KINVARO!$AW$3)=TRUE,1,0)</f>
        <v>1</v>
      </c>
      <c r="P356" s="172">
        <f>IF(AND(Daten!$Z356&lt;=KINVARO!$AW$4,Daten!$AA356&gt;=KINVARO!$AW$4)=TRUE,1,0)</f>
        <v>0</v>
      </c>
      <c r="Q356" s="172"/>
      <c r="R356" s="172">
        <f>IF(AND(Daten!$AC356&lt;='Material+Limits'!$I$58,Daten!$AD356&gt;='Material+Limits'!$I$58)=TRUE,1,0)</f>
        <v>1</v>
      </c>
      <c r="S356" s="23">
        <f ca="1">IF(Daten!$X356=Sprache!$A$125,1,0)</f>
        <v>1</v>
      </c>
      <c r="T356" s="24" t="str">
        <f ca="1">Sprache!$A$59</f>
        <v>Podnośnik S-35</v>
      </c>
      <c r="U356" s="27">
        <v>13</v>
      </c>
      <c r="V356" s="23">
        <v>17</v>
      </c>
      <c r="W356" s="25">
        <f ca="1">Sprache!$A$132</f>
        <v>0</v>
      </c>
      <c r="X356" s="25">
        <f ca="1">Sprache!$A$126</f>
        <v>0</v>
      </c>
      <c r="Y356" s="25" t="str">
        <f ca="1">Sprache!$A$69</f>
        <v>Front</v>
      </c>
      <c r="Z356" s="25">
        <v>570</v>
      </c>
      <c r="AA356" s="24">
        <v>599</v>
      </c>
      <c r="AB356" s="25"/>
      <c r="AC356" s="26">
        <v>5.5</v>
      </c>
      <c r="AD356" s="54">
        <v>12</v>
      </c>
      <c r="AE356" s="25" t="s">
        <v>816</v>
      </c>
      <c r="AF356" s="25" t="str">
        <f ca="1">Sprache!$A$101</f>
        <v>Zestaw (prawy+lewy)</v>
      </c>
      <c r="AG356" s="25" t="s">
        <v>26</v>
      </c>
      <c r="AH356" s="25" t="str">
        <f ca="1">Sprache!$A$112</f>
        <v>Siłownik C</v>
      </c>
      <c r="AI356" s="25" t="str">
        <f ca="1">Sprache!$A$137</f>
        <v>Adapter do ram aluminiowych, do Kinvaro S-35 zest.</v>
      </c>
      <c r="AJ356" s="242" t="s">
        <v>819</v>
      </c>
      <c r="AK356" s="25">
        <v>450</v>
      </c>
      <c r="AL356" s="24">
        <v>1200</v>
      </c>
      <c r="AM356" s="30"/>
      <c r="AN356" s="24"/>
      <c r="AO356"/>
      <c r="AR356"/>
      <c r="AS356"/>
      <c r="AT356"/>
      <c r="AU356"/>
      <c r="AV356"/>
    </row>
    <row r="357" spans="1:48" s="5" customFormat="1" x14ac:dyDescent="0.25">
      <c r="A357" t="str">
        <f ca="1">IF(E357+F357+G357+H357+I357+C357+D357=3,1,"")</f>
        <v/>
      </c>
      <c r="B357" t="str">
        <f t="shared" ca="1" si="10"/>
        <v/>
      </c>
      <c r="C357" s="79">
        <f>IF('Material+Limits'!$P$5=TRUE,1,0)</f>
        <v>0</v>
      </c>
      <c r="D357" s="39">
        <f>IF(Daten!$O357+Daten!$P357+Daten!$R357=3,1,0)</f>
        <v>0</v>
      </c>
      <c r="E357" s="184">
        <f ca="1">IF(AND('Material+Limits'!$Q$21=TRUE,Daten!N357=1)=TRUE,1,0)</f>
        <v>0</v>
      </c>
      <c r="F357" s="185">
        <f>IF(AND('Material+Limits'!$Q$25=TRUE,Daten!M357=1)=TRUE,1,0)</f>
        <v>0</v>
      </c>
      <c r="G357" s="185">
        <f>IF(AND('Material+Limits'!$Q$24=TRUE,Daten!L357=1)=TRUE,1,0)</f>
        <v>0</v>
      </c>
      <c r="H357" s="185">
        <f>IF(AND('Material+Limits'!$Q$23=TRUE,Daten!K357=1)=TRUE,1,0)</f>
        <v>0</v>
      </c>
      <c r="I357" s="185">
        <f>IF(AND('Material+Limits'!$Q$22=TRUE,Daten!J357=1)=TRUE,1,0)</f>
        <v>0</v>
      </c>
      <c r="J357" s="155">
        <f>IF(Daten!$U357=13,1,0)</f>
        <v>1</v>
      </c>
      <c r="K357" s="156">
        <f>IF(Daten!$U357&lt;&gt;Daten!$V357,1,IF(Daten!$U357=14,1,0))</f>
        <v>1</v>
      </c>
      <c r="L357" s="156">
        <f>IF(Daten!$U357&lt;&gt;Daten!$V357,1,IF(Daten!$U357=16,1,0))</f>
        <v>1</v>
      </c>
      <c r="M357" s="156">
        <f>IF(Daten!$V357=17,1,0)</f>
        <v>1</v>
      </c>
      <c r="N357" s="157">
        <f ca="1">IF(Daten!$W357=Sprache!$A$60,1,0)</f>
        <v>0</v>
      </c>
      <c r="O357" s="169">
        <f>IF(AND(Daten!$AK357&lt;=KINVARO!$AW$3,Daten!$AL357&gt;=KINVARO!$AW$3)=TRUE,1,0)</f>
        <v>1</v>
      </c>
      <c r="P357" s="170">
        <f>IF(AND(Daten!$Z357&lt;=KINVARO!$AW$4,Daten!$AA357&gt;=KINVARO!$AW$4)=TRUE,1,0)</f>
        <v>0</v>
      </c>
      <c r="Q357" s="170"/>
      <c r="R357" s="170">
        <f>IF(AND(Daten!$AC357&lt;='Material+Limits'!$I$58,Daten!$AD357&gt;='Material+Limits'!$I$58)=TRUE,1,0)</f>
        <v>0</v>
      </c>
      <c r="S357" s="29">
        <f ca="1">IF(Daten!$X357=Sprache!$A$125,1,0)</f>
        <v>1</v>
      </c>
      <c r="T357" s="28" t="str">
        <f ca="1">Sprache!$A$59</f>
        <v>Podnośnik S-35</v>
      </c>
      <c r="U357" s="32">
        <v>13</v>
      </c>
      <c r="V357" s="29">
        <v>17</v>
      </c>
      <c r="W357" s="30">
        <f ca="1">Sprache!$A$132</f>
        <v>0</v>
      </c>
      <c r="X357" s="30">
        <f ca="1">Sprache!$A$126</f>
        <v>0</v>
      </c>
      <c r="Y357" s="30" t="str">
        <f ca="1">Sprache!$A$69</f>
        <v>Front</v>
      </c>
      <c r="Z357" s="30">
        <v>570</v>
      </c>
      <c r="AA357" s="28">
        <v>599</v>
      </c>
      <c r="AB357" s="30"/>
      <c r="AC357" s="31">
        <v>11.5</v>
      </c>
      <c r="AD357" s="53">
        <v>14.5</v>
      </c>
      <c r="AE357" s="30" t="s">
        <v>817</v>
      </c>
      <c r="AF357" s="30" t="str">
        <f ca="1">Sprache!$A$101</f>
        <v>Zestaw (prawy+lewy)</v>
      </c>
      <c r="AG357" s="30" t="s">
        <v>26</v>
      </c>
      <c r="AH357" s="30" t="str">
        <f ca="1">Sprache!$A$113</f>
        <v>Siłownik D</v>
      </c>
      <c r="AI357" s="30" t="str">
        <f ca="1">Sprache!$A$137</f>
        <v>Adapter do ram aluminiowych, do Kinvaro S-35 zest.</v>
      </c>
      <c r="AJ357" s="243" t="s">
        <v>819</v>
      </c>
      <c r="AK357" s="30">
        <v>450</v>
      </c>
      <c r="AL357" s="28">
        <v>1200</v>
      </c>
      <c r="AM357" s="30"/>
      <c r="AN357" s="28"/>
    </row>
    <row r="358" spans="1:48" x14ac:dyDescent="0.25">
      <c r="A358" t="str">
        <f t="shared" ca="1" si="11"/>
        <v/>
      </c>
      <c r="B358" t="str">
        <f t="shared" ca="1" si="10"/>
        <v/>
      </c>
      <c r="C358" s="79">
        <f>IF('Material+Limits'!$P$5=TRUE,1,0)</f>
        <v>0</v>
      </c>
      <c r="D358" s="39">
        <f>IF(Daten!$O358+Daten!$P358+Daten!$R358=3,1,0)</f>
        <v>0</v>
      </c>
      <c r="E358" s="184">
        <f ca="1">IF(AND('Material+Limits'!$Q$21=TRUE,Daten!N358=1)=TRUE,1,0)</f>
        <v>1</v>
      </c>
      <c r="F358" s="185">
        <f ca="1">IF(AND('Material+Limits'!$Q$25=TRUE,Daten!M358=1)=TRUE,1,0)</f>
        <v>0</v>
      </c>
      <c r="G358" s="185">
        <f ca="1">IF(AND('Material+Limits'!$Q$24=TRUE,Daten!L358=1)=TRUE,1,0)</f>
        <v>0</v>
      </c>
      <c r="H358" s="185">
        <f ca="1">IF(AND('Material+Limits'!$Q$23=TRUE,Daten!K358=1)=TRUE,1,0)</f>
        <v>0</v>
      </c>
      <c r="I358" s="185">
        <f ca="1">IF(AND('Material+Limits'!$Q$22=TRUE,Daten!J358=1)=TRUE,1,0)</f>
        <v>0</v>
      </c>
      <c r="J358" s="158">
        <f ca="1">IF(Daten!$U358=13,1,0)</f>
        <v>0</v>
      </c>
      <c r="K358" s="159">
        <f ca="1">IF(Daten!$U358&lt;&gt;Daten!$V358,1,IF(Daten!$U358=14,1,0))</f>
        <v>0</v>
      </c>
      <c r="L358" s="159">
        <f ca="1">IF(Daten!$U358&lt;&gt;Daten!$V358,1,IF(Daten!$U358=16,1,0))</f>
        <v>0</v>
      </c>
      <c r="M358" s="159">
        <f ca="1">IF(Daten!$V358=17,1,0)</f>
        <v>0</v>
      </c>
      <c r="N358" s="160">
        <f ca="1">IF(Daten!$W358=Sprache!$A$60,1,0)</f>
        <v>1</v>
      </c>
      <c r="O358" s="173">
        <f>IF(AND(Daten!$AK358&lt;=KINVARO!$AW$3,Daten!$AL358&gt;=KINVARO!$AW$3)=TRUE,1,0)</f>
        <v>1</v>
      </c>
      <c r="P358" s="174">
        <f>IF(AND(Daten!$Z358&lt;=KINVARO!$AW$4,Daten!$AA358&gt;=KINVARO!$AW$4)=TRUE,1,0)</f>
        <v>0</v>
      </c>
      <c r="Q358" s="174"/>
      <c r="R358" s="174">
        <f>IF(AND(Daten!$AC358&lt;='Material+Limits'!$I$58,Daten!$AD358&gt;='Material+Limits'!$I$58)=TRUE,1,0)</f>
        <v>0</v>
      </c>
      <c r="S358" s="38">
        <f ca="1">IF(Daten!$X358=Sprache!$A$125,1,0)</f>
        <v>1</v>
      </c>
      <c r="T358" s="57" t="str">
        <f ca="1">Sprache!$A$59</f>
        <v>Podnośnik S-35</v>
      </c>
      <c r="U358" s="55">
        <f ca="1">Sprache!$A$64</f>
        <v>0</v>
      </c>
      <c r="V358" s="38">
        <f ca="1">Sprache!$A$64</f>
        <v>0</v>
      </c>
      <c r="W358" s="56" t="str">
        <f ca="1">Sprache!$A$60</f>
        <v>Front lity (drewno/płyta)</v>
      </c>
      <c r="X358" s="25">
        <f ca="1">Sprache!$A$126</f>
        <v>0</v>
      </c>
      <c r="Y358" s="56" t="str">
        <f ca="1">Sprache!$A$69</f>
        <v>Front</v>
      </c>
      <c r="Z358" s="56">
        <v>600</v>
      </c>
      <c r="AA358" s="57">
        <v>629</v>
      </c>
      <c r="AB358" s="56"/>
      <c r="AC358" s="58">
        <v>2</v>
      </c>
      <c r="AD358" s="59">
        <v>5.5</v>
      </c>
      <c r="AE358" s="56" t="s">
        <v>814</v>
      </c>
      <c r="AF358" s="56" t="str">
        <f ca="1">Sprache!$A$101</f>
        <v>Zestaw (prawy+lewy)</v>
      </c>
      <c r="AG358" s="56" t="s">
        <v>26</v>
      </c>
      <c r="AH358" s="56" t="str">
        <f ca="1">Sprache!$A$110</f>
        <v>Siłownik A</v>
      </c>
      <c r="AI358" s="56" t="s">
        <v>26</v>
      </c>
      <c r="AJ358" s="56" t="s">
        <v>26</v>
      </c>
      <c r="AK358" s="56">
        <v>450</v>
      </c>
      <c r="AL358" s="57">
        <v>1200</v>
      </c>
      <c r="AM358" s="30"/>
      <c r="AN358" s="24"/>
      <c r="AO358"/>
      <c r="AR358"/>
      <c r="AS358"/>
      <c r="AT358"/>
      <c r="AU358"/>
      <c r="AV358"/>
    </row>
    <row r="359" spans="1:48" x14ac:dyDescent="0.25">
      <c r="A359" t="str">
        <f t="shared" ca="1" si="11"/>
        <v/>
      </c>
      <c r="B359" t="str">
        <f t="shared" ca="1" si="10"/>
        <v/>
      </c>
      <c r="C359" s="79">
        <f>IF('Material+Limits'!$P$5=TRUE,1,0)</f>
        <v>0</v>
      </c>
      <c r="D359" s="39">
        <f>IF(Daten!$O359+Daten!$P359+Daten!$R359=3,1,0)</f>
        <v>0</v>
      </c>
      <c r="E359" s="184">
        <f ca="1">IF(AND('Material+Limits'!$Q$21=TRUE,Daten!N359=1)=TRUE,1,0)</f>
        <v>1</v>
      </c>
      <c r="F359" s="185">
        <f ca="1">IF(AND('Material+Limits'!$Q$25=TRUE,Daten!M359=1)=TRUE,1,0)</f>
        <v>0</v>
      </c>
      <c r="G359" s="185">
        <f ca="1">IF(AND('Material+Limits'!$Q$24=TRUE,Daten!L359=1)=TRUE,1,0)</f>
        <v>0</v>
      </c>
      <c r="H359" s="185">
        <f ca="1">IF(AND('Material+Limits'!$Q$23=TRUE,Daten!K359=1)=TRUE,1,0)</f>
        <v>0</v>
      </c>
      <c r="I359" s="185">
        <f ca="1">IF(AND('Material+Limits'!$Q$22=TRUE,Daten!J359=1)=TRUE,1,0)</f>
        <v>0</v>
      </c>
      <c r="J359" s="155">
        <f ca="1">IF(Daten!$U359=13,1,0)</f>
        <v>0</v>
      </c>
      <c r="K359" s="156">
        <f ca="1">IF(Daten!$U359&lt;&gt;Daten!$V359,1,IF(Daten!$U359=14,1,0))</f>
        <v>0</v>
      </c>
      <c r="L359" s="156">
        <f ca="1">IF(Daten!$U359&lt;&gt;Daten!$V359,1,IF(Daten!$U359=16,1,0))</f>
        <v>0</v>
      </c>
      <c r="M359" s="156">
        <f ca="1">IF(Daten!$V359=17,1,0)</f>
        <v>0</v>
      </c>
      <c r="N359" s="157">
        <f ca="1">IF(Daten!$W359=Sprache!$A$60,1,0)</f>
        <v>1</v>
      </c>
      <c r="O359" s="169">
        <f>IF(AND(Daten!$AK359&lt;=KINVARO!$AW$3,Daten!$AL359&gt;=KINVARO!$AW$3)=TRUE,1,0)</f>
        <v>1</v>
      </c>
      <c r="P359" s="170">
        <f>IF(AND(Daten!$Z359&lt;=KINVARO!$AW$4,Daten!$AA359&gt;=KINVARO!$AW$4)=TRUE,1,0)</f>
        <v>0</v>
      </c>
      <c r="R359" s="170">
        <f>IF(AND(Daten!$AC359&lt;='Material+Limits'!$I$58,Daten!$AD359&gt;='Material+Limits'!$I$58)=TRUE,1,0)</f>
        <v>1</v>
      </c>
      <c r="S359" s="29">
        <f ca="1">IF(Daten!$X359=Sprache!$A$125,1,0)</f>
        <v>1</v>
      </c>
      <c r="T359" s="28" t="str">
        <f ca="1">Sprache!$A$59</f>
        <v>Podnośnik S-35</v>
      </c>
      <c r="U359" s="32">
        <f ca="1">Sprache!$A$64</f>
        <v>0</v>
      </c>
      <c r="V359" s="29">
        <f ca="1">Sprache!$A$64</f>
        <v>0</v>
      </c>
      <c r="W359" s="30" t="str">
        <f ca="1">Sprache!$A$60</f>
        <v>Front lity (drewno/płyta)</v>
      </c>
      <c r="X359" s="30">
        <f ca="1">Sprache!$A$126</f>
        <v>0</v>
      </c>
      <c r="Y359" s="30" t="str">
        <f ca="1">Sprache!$A$69</f>
        <v>Front</v>
      </c>
      <c r="Z359" s="30">
        <v>600</v>
      </c>
      <c r="AA359" s="28">
        <v>629</v>
      </c>
      <c r="AB359" s="30"/>
      <c r="AC359" s="31">
        <v>4.5</v>
      </c>
      <c r="AD359" s="53">
        <v>10</v>
      </c>
      <c r="AE359" s="30" t="s">
        <v>815</v>
      </c>
      <c r="AF359" s="30" t="str">
        <f ca="1">Sprache!$A$101</f>
        <v>Zestaw (prawy+lewy)</v>
      </c>
      <c r="AG359" s="30" t="s">
        <v>26</v>
      </c>
      <c r="AH359" s="30" t="str">
        <f ca="1">Sprache!$A$111</f>
        <v>Siłownik B</v>
      </c>
      <c r="AI359" s="30" t="s">
        <v>26</v>
      </c>
      <c r="AJ359" s="30" t="s">
        <v>26</v>
      </c>
      <c r="AK359" s="30">
        <v>450</v>
      </c>
      <c r="AL359" s="28">
        <v>1200</v>
      </c>
      <c r="AM359" s="30"/>
      <c r="AN359" s="28"/>
      <c r="AO359"/>
      <c r="AR359"/>
      <c r="AS359"/>
      <c r="AT359"/>
      <c r="AU359"/>
      <c r="AV359"/>
    </row>
    <row r="360" spans="1:48" x14ac:dyDescent="0.25">
      <c r="A360" t="str">
        <f t="shared" ca="1" si="11"/>
        <v/>
      </c>
      <c r="B360" t="str">
        <f t="shared" ca="1" si="10"/>
        <v/>
      </c>
      <c r="C360" s="79">
        <f>IF('Material+Limits'!$P$5=TRUE,1,0)</f>
        <v>0</v>
      </c>
      <c r="D360" s="39">
        <f>IF(Daten!$O360+Daten!$P360+Daten!$R360=3,1,0)</f>
        <v>0</v>
      </c>
      <c r="E360" s="184">
        <f ca="1">IF(AND('Material+Limits'!$Q$21=TRUE,Daten!N360=1)=TRUE,1,0)</f>
        <v>1</v>
      </c>
      <c r="F360" s="185">
        <f ca="1">IF(AND('Material+Limits'!$Q$25=TRUE,Daten!M360=1)=TRUE,1,0)</f>
        <v>0</v>
      </c>
      <c r="G360" s="185">
        <f ca="1">IF(AND('Material+Limits'!$Q$24=TRUE,Daten!L360=1)=TRUE,1,0)</f>
        <v>0</v>
      </c>
      <c r="H360" s="185">
        <f ca="1">IF(AND('Material+Limits'!$Q$23=TRUE,Daten!K360=1)=TRUE,1,0)</f>
        <v>0</v>
      </c>
      <c r="I360" s="185">
        <f ca="1">IF(AND('Material+Limits'!$Q$22=TRUE,Daten!J360=1)=TRUE,1,0)</f>
        <v>0</v>
      </c>
      <c r="J360" s="158">
        <f ca="1">IF(Daten!$U360=13,1,0)</f>
        <v>0</v>
      </c>
      <c r="K360" s="159">
        <f ca="1">IF(Daten!$U360&lt;&gt;Daten!$V360,1,IF(Daten!$U360=14,1,0))</f>
        <v>0</v>
      </c>
      <c r="L360" s="159">
        <f ca="1">IF(Daten!$U360&lt;&gt;Daten!$V360,1,IF(Daten!$U360=16,1,0))</f>
        <v>0</v>
      </c>
      <c r="M360" s="159">
        <f ca="1">IF(Daten!$V360=17,1,0)</f>
        <v>0</v>
      </c>
      <c r="N360" s="160">
        <f ca="1">IF(Daten!$W360=Sprache!$A$60,1,0)</f>
        <v>1</v>
      </c>
      <c r="O360" s="171">
        <f>IF(AND(Daten!$AK360&lt;=KINVARO!$AW$3,Daten!$AL360&gt;=KINVARO!$AW$3)=TRUE,1,0)</f>
        <v>1</v>
      </c>
      <c r="P360" s="172">
        <f>IF(AND(Daten!$Z360&lt;=KINVARO!$AW$4,Daten!$AA360&gt;=KINVARO!$AW$4)=TRUE,1,0)</f>
        <v>0</v>
      </c>
      <c r="Q360" s="172"/>
      <c r="R360" s="172">
        <f>IF(AND(Daten!$AC360&lt;='Material+Limits'!$I$58,Daten!$AD360&gt;='Material+Limits'!$I$58)=TRUE,1,0)</f>
        <v>1</v>
      </c>
      <c r="S360" s="23">
        <f ca="1">IF(Daten!$X360=Sprache!$A$125,1,0)</f>
        <v>1</v>
      </c>
      <c r="T360" s="24" t="str">
        <f ca="1">Sprache!$A$59</f>
        <v>Podnośnik S-35</v>
      </c>
      <c r="U360" s="27">
        <f ca="1">Sprache!$A$64</f>
        <v>0</v>
      </c>
      <c r="V360" s="23">
        <f ca="1">Sprache!$A$64</f>
        <v>0</v>
      </c>
      <c r="W360" s="25" t="str">
        <f ca="1">Sprache!$A$60</f>
        <v>Front lity (drewno/płyta)</v>
      </c>
      <c r="X360" s="25">
        <f ca="1">Sprache!$A$126</f>
        <v>0</v>
      </c>
      <c r="Y360" s="25" t="str">
        <f ca="1">Sprache!$A$69</f>
        <v>Front</v>
      </c>
      <c r="Z360" s="25">
        <v>600</v>
      </c>
      <c r="AA360" s="24">
        <v>629</v>
      </c>
      <c r="AB360" s="25"/>
      <c r="AC360" s="26">
        <v>5.5</v>
      </c>
      <c r="AD360" s="54">
        <v>11.5</v>
      </c>
      <c r="AE360" s="25" t="s">
        <v>816</v>
      </c>
      <c r="AF360" s="25" t="str">
        <f ca="1">Sprache!$A$101</f>
        <v>Zestaw (prawy+lewy)</v>
      </c>
      <c r="AG360" s="25" t="s">
        <v>26</v>
      </c>
      <c r="AH360" s="25" t="str">
        <f ca="1">Sprache!$A$112</f>
        <v>Siłownik C</v>
      </c>
      <c r="AI360" s="25" t="s">
        <v>26</v>
      </c>
      <c r="AJ360" s="25" t="s">
        <v>26</v>
      </c>
      <c r="AK360" s="25">
        <v>450</v>
      </c>
      <c r="AL360" s="24">
        <v>1200</v>
      </c>
      <c r="AM360" s="30"/>
      <c r="AN360" s="24"/>
      <c r="AO360"/>
      <c r="AR360"/>
      <c r="AS360"/>
      <c r="AT360"/>
      <c r="AU360"/>
      <c r="AV360"/>
    </row>
    <row r="361" spans="1:48" x14ac:dyDescent="0.25">
      <c r="A361" t="str">
        <f t="shared" ca="1" si="11"/>
        <v/>
      </c>
      <c r="B361" t="str">
        <f t="shared" ca="1" si="10"/>
        <v/>
      </c>
      <c r="C361" s="79">
        <f>IF('Material+Limits'!$P$5=TRUE,1,0)</f>
        <v>0</v>
      </c>
      <c r="D361" s="39">
        <f>IF(Daten!$O361+Daten!$P361+Daten!$R361=3,1,0)</f>
        <v>0</v>
      </c>
      <c r="E361" s="184">
        <f ca="1">IF(AND('Material+Limits'!$Q$21=TRUE,Daten!N361=1)=TRUE,1,0)</f>
        <v>1</v>
      </c>
      <c r="F361" s="185">
        <f ca="1">IF(AND('Material+Limits'!$Q$25=TRUE,Daten!M361=1)=TRUE,1,0)</f>
        <v>0</v>
      </c>
      <c r="G361" s="185">
        <f ca="1">IF(AND('Material+Limits'!$Q$24=TRUE,Daten!L361=1)=TRUE,1,0)</f>
        <v>0</v>
      </c>
      <c r="H361" s="185">
        <f ca="1">IF(AND('Material+Limits'!$Q$23=TRUE,Daten!K361=1)=TRUE,1,0)</f>
        <v>0</v>
      </c>
      <c r="I361" s="185">
        <f ca="1">IF(AND('Material+Limits'!$Q$22=TRUE,Daten!J361=1)=TRUE,1,0)</f>
        <v>0</v>
      </c>
      <c r="J361" s="155">
        <f ca="1">IF(Daten!$U361=13,1,0)</f>
        <v>0</v>
      </c>
      <c r="K361" s="156">
        <f ca="1">IF(Daten!$U361&lt;&gt;Daten!$V361,1,IF(Daten!$U361=14,1,0))</f>
        <v>0</v>
      </c>
      <c r="L361" s="156">
        <f ca="1">IF(Daten!$U361&lt;&gt;Daten!$V361,1,IF(Daten!$U361=16,1,0))</f>
        <v>0</v>
      </c>
      <c r="M361" s="156">
        <f ca="1">IF(Daten!$V361=17,1,0)</f>
        <v>0</v>
      </c>
      <c r="N361" s="157">
        <f ca="1">IF(Daten!$W361=Sprache!$A$60,1,0)</f>
        <v>1</v>
      </c>
      <c r="O361" s="169">
        <f>IF(AND(Daten!$AK361&lt;=KINVARO!$AW$3,Daten!$AL361&gt;=KINVARO!$AW$3)=TRUE,1,0)</f>
        <v>1</v>
      </c>
      <c r="P361" s="170">
        <f>IF(AND(Daten!$Z361&lt;=KINVARO!$AW$4,Daten!$AA361&gt;=KINVARO!$AW$4)=TRUE,1,0)</f>
        <v>0</v>
      </c>
      <c r="R361" s="170">
        <f>IF(AND(Daten!$AC361&lt;='Material+Limits'!$I$58,Daten!$AD361&gt;='Material+Limits'!$I$58)=TRUE,1,0)</f>
        <v>0</v>
      </c>
      <c r="S361" s="29">
        <f ca="1">IF(Daten!$X361=Sprache!$A$125,1,0)</f>
        <v>1</v>
      </c>
      <c r="T361" s="28" t="str">
        <f ca="1">Sprache!$A$59</f>
        <v>Podnośnik S-35</v>
      </c>
      <c r="U361" s="32">
        <f ca="1">Sprache!$A$64</f>
        <v>0</v>
      </c>
      <c r="V361" s="29">
        <f ca="1">Sprache!$A$64</f>
        <v>0</v>
      </c>
      <c r="W361" s="30" t="str">
        <f ca="1">Sprache!$A$60</f>
        <v>Front lity (drewno/płyta)</v>
      </c>
      <c r="X361" s="30">
        <f ca="1">Sprache!$A$126</f>
        <v>0</v>
      </c>
      <c r="Y361" s="30" t="str">
        <f ca="1">Sprache!$A$69</f>
        <v>Front</v>
      </c>
      <c r="Z361" s="30">
        <v>600</v>
      </c>
      <c r="AA361" s="28">
        <v>629</v>
      </c>
      <c r="AB361" s="30"/>
      <c r="AC361" s="31">
        <v>10.5</v>
      </c>
      <c r="AD361" s="53">
        <v>15.5</v>
      </c>
      <c r="AE361" s="30" t="s">
        <v>817</v>
      </c>
      <c r="AF361" s="30" t="str">
        <f ca="1">Sprache!$A$101</f>
        <v>Zestaw (prawy+lewy)</v>
      </c>
      <c r="AG361" s="30" t="s">
        <v>26</v>
      </c>
      <c r="AH361" s="30" t="str">
        <f ca="1">Sprache!$A$113</f>
        <v>Siłownik D</v>
      </c>
      <c r="AI361" s="30" t="s">
        <v>26</v>
      </c>
      <c r="AJ361" s="30" t="s">
        <v>26</v>
      </c>
      <c r="AK361" s="30">
        <v>450</v>
      </c>
      <c r="AL361" s="28">
        <v>1200</v>
      </c>
      <c r="AM361" s="30"/>
      <c r="AN361" s="28"/>
      <c r="AO361"/>
      <c r="AR361"/>
      <c r="AS361"/>
      <c r="AT361"/>
      <c r="AU361"/>
      <c r="AV361"/>
    </row>
    <row r="362" spans="1:48" x14ac:dyDescent="0.25">
      <c r="A362" t="str">
        <f t="shared" ca="1" si="11"/>
        <v/>
      </c>
      <c r="B362" t="str">
        <f t="shared" ca="1" si="10"/>
        <v/>
      </c>
      <c r="C362" s="79">
        <f>IF('Material+Limits'!$P$5=TRUE,1,0)</f>
        <v>0</v>
      </c>
      <c r="D362" s="39">
        <f>IF(Daten!$O362+Daten!$P362+Daten!$R362=3,1,0)</f>
        <v>0</v>
      </c>
      <c r="E362" s="184">
        <f ca="1">IF(AND('Material+Limits'!$Q$21=TRUE,Daten!N362=1)=TRUE,1,0)</f>
        <v>0</v>
      </c>
      <c r="F362" s="185">
        <f>IF(AND('Material+Limits'!$Q$25=TRUE,Daten!M362=1)=TRUE,1,0)</f>
        <v>0</v>
      </c>
      <c r="G362" s="185">
        <f>IF(AND('Material+Limits'!$Q$24=TRUE,Daten!L362=1)=TRUE,1,0)</f>
        <v>0</v>
      </c>
      <c r="H362" s="185">
        <f>IF(AND('Material+Limits'!$Q$23=TRUE,Daten!K362=1)=TRUE,1,0)</f>
        <v>0</v>
      </c>
      <c r="I362" s="185">
        <f>IF(AND('Material+Limits'!$Q$22=TRUE,Daten!J362=1)=TRUE,1,0)</f>
        <v>0</v>
      </c>
      <c r="J362" s="158">
        <f>IF(Daten!$U362=13,1,0)</f>
        <v>1</v>
      </c>
      <c r="K362" s="159">
        <f>IF(Daten!$U362&lt;&gt;Daten!$V362,1,IF(Daten!$U362=14,1,0))</f>
        <v>1</v>
      </c>
      <c r="L362" s="159">
        <f>IF(Daten!$U362&lt;&gt;Daten!$V362,1,IF(Daten!$U362=16,1,0))</f>
        <v>1</v>
      </c>
      <c r="M362" s="159">
        <f>IF(Daten!$V362=17,1,0)</f>
        <v>1</v>
      </c>
      <c r="N362" s="160">
        <f ca="1">IF(Daten!$W362=Sprache!$A$60,1,0)</f>
        <v>0</v>
      </c>
      <c r="O362" s="171">
        <f>IF(AND(Daten!$AK362&lt;=KINVARO!$AW$3,Daten!$AL362&gt;=KINVARO!$AW$3)=TRUE,1,0)</f>
        <v>1</v>
      </c>
      <c r="P362" s="172">
        <f>IF(AND(Daten!$Z362&lt;=KINVARO!$AW$4,Daten!$AA362&gt;=KINVARO!$AW$4)=TRUE,1,0)</f>
        <v>0</v>
      </c>
      <c r="Q362" s="172"/>
      <c r="R362" s="172">
        <f>IF(AND(Daten!$AC362&lt;='Material+Limits'!$I$58,Daten!$AD362&gt;='Material+Limits'!$I$58)=TRUE,1,0)</f>
        <v>0</v>
      </c>
      <c r="S362" s="23">
        <f ca="1">IF(Daten!$X362=Sprache!$A$125,1,0)</f>
        <v>1</v>
      </c>
      <c r="T362" s="24" t="str">
        <f ca="1">Sprache!$A$59</f>
        <v>Podnośnik S-35</v>
      </c>
      <c r="U362" s="27">
        <v>13</v>
      </c>
      <c r="V362" s="23">
        <v>17</v>
      </c>
      <c r="W362" s="25">
        <f ca="1">Sprache!$A$132</f>
        <v>0</v>
      </c>
      <c r="X362" s="25">
        <f ca="1">Sprache!$A$126</f>
        <v>0</v>
      </c>
      <c r="Y362" s="25" t="str">
        <f ca="1">Sprache!$A$69</f>
        <v>Front</v>
      </c>
      <c r="Z362" s="25">
        <v>600</v>
      </c>
      <c r="AA362" s="24">
        <v>629</v>
      </c>
      <c r="AB362" s="25"/>
      <c r="AC362" s="26">
        <v>2</v>
      </c>
      <c r="AD362" s="54">
        <v>5.5</v>
      </c>
      <c r="AE362" s="25" t="s">
        <v>814</v>
      </c>
      <c r="AF362" s="25" t="str">
        <f ca="1">Sprache!$A$101</f>
        <v>Zestaw (prawy+lewy)</v>
      </c>
      <c r="AG362" s="25" t="s">
        <v>26</v>
      </c>
      <c r="AH362" s="25" t="str">
        <f ca="1">Sprache!$A$110</f>
        <v>Siłownik A</v>
      </c>
      <c r="AI362" s="25" t="str">
        <f ca="1">Sprache!$A$137</f>
        <v>Adapter do ram aluminiowych, do Kinvaro S-35 zest.</v>
      </c>
      <c r="AJ362" s="242" t="s">
        <v>819</v>
      </c>
      <c r="AK362" s="25">
        <v>450</v>
      </c>
      <c r="AL362" s="24">
        <v>1200</v>
      </c>
      <c r="AM362" s="30"/>
      <c r="AN362" s="24"/>
      <c r="AO362"/>
      <c r="AR362"/>
      <c r="AS362"/>
      <c r="AT362"/>
      <c r="AU362"/>
      <c r="AV362"/>
    </row>
    <row r="363" spans="1:48" x14ac:dyDescent="0.25">
      <c r="A363" t="str">
        <f t="shared" ca="1" si="11"/>
        <v/>
      </c>
      <c r="B363" t="str">
        <f t="shared" ca="1" si="10"/>
        <v/>
      </c>
      <c r="C363" s="79">
        <f>IF('Material+Limits'!$P$5=TRUE,1,0)</f>
        <v>0</v>
      </c>
      <c r="D363" s="39">
        <f>IF(Daten!$O363+Daten!$P363+Daten!$R363=3,1,0)</f>
        <v>0</v>
      </c>
      <c r="E363" s="184">
        <f ca="1">IF(AND('Material+Limits'!$Q$21=TRUE,Daten!N363=1)=TRUE,1,0)</f>
        <v>0</v>
      </c>
      <c r="F363" s="185">
        <f>IF(AND('Material+Limits'!$Q$25=TRUE,Daten!M363=1)=TRUE,1,0)</f>
        <v>0</v>
      </c>
      <c r="G363" s="185">
        <f>IF(AND('Material+Limits'!$Q$24=TRUE,Daten!L363=1)=TRUE,1,0)</f>
        <v>0</v>
      </c>
      <c r="H363" s="185">
        <f>IF(AND('Material+Limits'!$Q$23=TRUE,Daten!K363=1)=TRUE,1,0)</f>
        <v>0</v>
      </c>
      <c r="I363" s="185">
        <f>IF(AND('Material+Limits'!$Q$22=TRUE,Daten!J363=1)=TRUE,1,0)</f>
        <v>0</v>
      </c>
      <c r="J363" s="155">
        <f>IF(Daten!$U363=13,1,0)</f>
        <v>1</v>
      </c>
      <c r="K363" s="156">
        <f>IF(Daten!$U363&lt;&gt;Daten!$V363,1,IF(Daten!$U363=14,1,0))</f>
        <v>1</v>
      </c>
      <c r="L363" s="156">
        <f>IF(Daten!$U363&lt;&gt;Daten!$V363,1,IF(Daten!$U363=16,1,0))</f>
        <v>1</v>
      </c>
      <c r="M363" s="156">
        <f>IF(Daten!$V363=17,1,0)</f>
        <v>1</v>
      </c>
      <c r="N363" s="157">
        <f ca="1">IF(Daten!$W363=Sprache!$A$60,1,0)</f>
        <v>0</v>
      </c>
      <c r="O363" s="169">
        <f>IF(AND(Daten!$AK363&lt;=KINVARO!$AW$3,Daten!$AL363&gt;=KINVARO!$AW$3)=TRUE,1,0)</f>
        <v>1</v>
      </c>
      <c r="P363" s="170">
        <f>IF(AND(Daten!$Z363&lt;=KINVARO!$AW$4,Daten!$AA363&gt;=KINVARO!$AW$4)=TRUE,1,0)</f>
        <v>0</v>
      </c>
      <c r="R363" s="170">
        <f>IF(AND(Daten!$AC363&lt;='Material+Limits'!$I$58,Daten!$AD363&gt;='Material+Limits'!$I$58)=TRUE,1,0)</f>
        <v>1</v>
      </c>
      <c r="S363" s="29">
        <f ca="1">IF(Daten!$X363=Sprache!$A$125,1,0)</f>
        <v>1</v>
      </c>
      <c r="T363" s="28" t="str">
        <f ca="1">Sprache!$A$59</f>
        <v>Podnośnik S-35</v>
      </c>
      <c r="U363" s="32">
        <v>13</v>
      </c>
      <c r="V363" s="29">
        <v>17</v>
      </c>
      <c r="W363" s="30">
        <f ca="1">Sprache!$A$132</f>
        <v>0</v>
      </c>
      <c r="X363" s="30">
        <f ca="1">Sprache!$A$126</f>
        <v>0</v>
      </c>
      <c r="Y363" s="30" t="str">
        <f ca="1">Sprache!$A$69</f>
        <v>Front</v>
      </c>
      <c r="Z363" s="30">
        <v>600</v>
      </c>
      <c r="AA363" s="28">
        <v>629</v>
      </c>
      <c r="AB363" s="30"/>
      <c r="AC363" s="31">
        <v>4.5</v>
      </c>
      <c r="AD363" s="53">
        <v>10</v>
      </c>
      <c r="AE363" s="30" t="s">
        <v>815</v>
      </c>
      <c r="AF363" s="30" t="str">
        <f ca="1">Sprache!$A$101</f>
        <v>Zestaw (prawy+lewy)</v>
      </c>
      <c r="AG363" s="30" t="s">
        <v>26</v>
      </c>
      <c r="AH363" s="30" t="str">
        <f ca="1">Sprache!$A$111</f>
        <v>Siłownik B</v>
      </c>
      <c r="AI363" s="30" t="str">
        <f ca="1">Sprache!$A$137</f>
        <v>Adapter do ram aluminiowych, do Kinvaro S-35 zest.</v>
      </c>
      <c r="AJ363" s="243" t="s">
        <v>819</v>
      </c>
      <c r="AK363" s="30">
        <v>450</v>
      </c>
      <c r="AL363" s="28">
        <v>1200</v>
      </c>
      <c r="AM363" s="30"/>
      <c r="AN363" s="28"/>
      <c r="AO363"/>
      <c r="AR363"/>
      <c r="AS363"/>
      <c r="AT363"/>
      <c r="AU363"/>
      <c r="AV363"/>
    </row>
    <row r="364" spans="1:48" x14ac:dyDescent="0.25">
      <c r="A364" t="str">
        <f t="shared" ca="1" si="11"/>
        <v/>
      </c>
      <c r="B364" t="str">
        <f t="shared" ca="1" si="10"/>
        <v/>
      </c>
      <c r="C364" s="79">
        <f>IF('Material+Limits'!$P$5=TRUE,1,0)</f>
        <v>0</v>
      </c>
      <c r="D364" s="39">
        <f>IF(Daten!$O364+Daten!$P364+Daten!$R364=3,1,0)</f>
        <v>0</v>
      </c>
      <c r="E364" s="184">
        <f ca="1">IF(AND('Material+Limits'!$Q$21=TRUE,Daten!N364=1)=TRUE,1,0)</f>
        <v>0</v>
      </c>
      <c r="F364" s="185">
        <f>IF(AND('Material+Limits'!$Q$25=TRUE,Daten!M364=1)=TRUE,1,0)</f>
        <v>0</v>
      </c>
      <c r="G364" s="185">
        <f>IF(AND('Material+Limits'!$Q$24=TRUE,Daten!L364=1)=TRUE,1,0)</f>
        <v>0</v>
      </c>
      <c r="H364" s="185">
        <f>IF(AND('Material+Limits'!$Q$23=TRUE,Daten!K364=1)=TRUE,1,0)</f>
        <v>0</v>
      </c>
      <c r="I364" s="185">
        <f>IF(AND('Material+Limits'!$Q$22=TRUE,Daten!J364=1)=TRUE,1,0)</f>
        <v>0</v>
      </c>
      <c r="J364" s="158">
        <f>IF(Daten!$U364=13,1,0)</f>
        <v>1</v>
      </c>
      <c r="K364" s="159">
        <f>IF(Daten!$U364&lt;&gt;Daten!$V364,1,IF(Daten!$U364=14,1,0))</f>
        <v>1</v>
      </c>
      <c r="L364" s="159">
        <f>IF(Daten!$U364&lt;&gt;Daten!$V364,1,IF(Daten!$U364=16,1,0))</f>
        <v>1</v>
      </c>
      <c r="M364" s="159">
        <f>IF(Daten!$V364=17,1,0)</f>
        <v>1</v>
      </c>
      <c r="N364" s="160">
        <f ca="1">IF(Daten!$W364=Sprache!$A$60,1,0)</f>
        <v>0</v>
      </c>
      <c r="O364" s="171">
        <f>IF(AND(Daten!$AK364&lt;=KINVARO!$AW$3,Daten!$AL364&gt;=KINVARO!$AW$3)=TRUE,1,0)</f>
        <v>1</v>
      </c>
      <c r="P364" s="172">
        <f>IF(AND(Daten!$Z364&lt;=KINVARO!$AW$4,Daten!$AA364&gt;=KINVARO!$AW$4)=TRUE,1,0)</f>
        <v>0</v>
      </c>
      <c r="Q364" s="172"/>
      <c r="R364" s="172">
        <f>IF(AND(Daten!$AC364&lt;='Material+Limits'!$I$58,Daten!$AD364&gt;='Material+Limits'!$I$58)=TRUE,1,0)</f>
        <v>1</v>
      </c>
      <c r="S364" s="23">
        <f ca="1">IF(Daten!$X364=Sprache!$A$125,1,0)</f>
        <v>1</v>
      </c>
      <c r="T364" s="24" t="str">
        <f ca="1">Sprache!$A$59</f>
        <v>Podnośnik S-35</v>
      </c>
      <c r="U364" s="27">
        <v>13</v>
      </c>
      <c r="V364" s="23">
        <v>17</v>
      </c>
      <c r="W364" s="25">
        <f ca="1">Sprache!$A$132</f>
        <v>0</v>
      </c>
      <c r="X364" s="25">
        <f ca="1">Sprache!$A$126</f>
        <v>0</v>
      </c>
      <c r="Y364" s="25" t="str">
        <f ca="1">Sprache!$A$69</f>
        <v>Front</v>
      </c>
      <c r="Z364" s="25">
        <v>600</v>
      </c>
      <c r="AA364" s="24">
        <v>629</v>
      </c>
      <c r="AB364" s="25"/>
      <c r="AC364" s="26">
        <v>5.5</v>
      </c>
      <c r="AD364" s="54">
        <v>11.5</v>
      </c>
      <c r="AE364" s="25" t="s">
        <v>816</v>
      </c>
      <c r="AF364" s="25" t="str">
        <f ca="1">Sprache!$A$101</f>
        <v>Zestaw (prawy+lewy)</v>
      </c>
      <c r="AG364" s="25" t="s">
        <v>26</v>
      </c>
      <c r="AH364" s="25" t="str">
        <f ca="1">Sprache!$A$112</f>
        <v>Siłownik C</v>
      </c>
      <c r="AI364" s="25" t="str">
        <f ca="1">Sprache!$A$137</f>
        <v>Adapter do ram aluminiowych, do Kinvaro S-35 zest.</v>
      </c>
      <c r="AJ364" s="242" t="s">
        <v>819</v>
      </c>
      <c r="AK364" s="25">
        <v>450</v>
      </c>
      <c r="AL364" s="24">
        <v>1200</v>
      </c>
      <c r="AM364" s="30"/>
      <c r="AN364" s="24"/>
      <c r="AO364"/>
      <c r="AR364"/>
      <c r="AS364"/>
      <c r="AT364"/>
      <c r="AU364"/>
      <c r="AV364"/>
    </row>
    <row r="365" spans="1:48" s="5" customFormat="1" x14ac:dyDescent="0.25">
      <c r="A365" t="str">
        <f t="shared" ca="1" si="11"/>
        <v/>
      </c>
      <c r="B365" t="str">
        <f t="shared" ca="1" si="10"/>
        <v/>
      </c>
      <c r="C365" s="79">
        <f>IF('Material+Limits'!$P$5=TRUE,1,0)</f>
        <v>0</v>
      </c>
      <c r="D365" s="39">
        <f>IF(Daten!$O365+Daten!$P365+Daten!$R365=3,1,0)</f>
        <v>0</v>
      </c>
      <c r="E365" s="184">
        <f ca="1">IF(AND('Material+Limits'!$Q$21=TRUE,Daten!N365=1)=TRUE,1,0)</f>
        <v>0</v>
      </c>
      <c r="F365" s="185">
        <f>IF(AND('Material+Limits'!$Q$25=TRUE,Daten!M365=1)=TRUE,1,0)</f>
        <v>0</v>
      </c>
      <c r="G365" s="185">
        <f>IF(AND('Material+Limits'!$Q$24=TRUE,Daten!L365=1)=TRUE,1,0)</f>
        <v>0</v>
      </c>
      <c r="H365" s="185">
        <f>IF(AND('Material+Limits'!$Q$23=TRUE,Daten!K365=1)=TRUE,1,0)</f>
        <v>0</v>
      </c>
      <c r="I365" s="185">
        <f>IF(AND('Material+Limits'!$Q$22=TRUE,Daten!J365=1)=TRUE,1,0)</f>
        <v>0</v>
      </c>
      <c r="J365" s="155">
        <f>IF(Daten!$U365=13,1,0)</f>
        <v>1</v>
      </c>
      <c r="K365" s="156">
        <f>IF(Daten!$U365&lt;&gt;Daten!$V365,1,IF(Daten!$U365=14,1,0))</f>
        <v>1</v>
      </c>
      <c r="L365" s="156">
        <f>IF(Daten!$U365&lt;&gt;Daten!$V365,1,IF(Daten!$U365=16,1,0))</f>
        <v>1</v>
      </c>
      <c r="M365" s="156">
        <f>IF(Daten!$V365=17,1,0)</f>
        <v>1</v>
      </c>
      <c r="N365" s="157">
        <f ca="1">IF(Daten!$W365=Sprache!$A$60,1,0)</f>
        <v>0</v>
      </c>
      <c r="O365" s="169">
        <f>IF(AND(Daten!$AK365&lt;=KINVARO!$AW$3,Daten!$AL365&gt;=KINVARO!$AW$3)=TRUE,1,0)</f>
        <v>1</v>
      </c>
      <c r="P365" s="170">
        <f>IF(AND(Daten!$Z365&lt;=KINVARO!$AW$4,Daten!$AA365&gt;=KINVARO!$AW$4)=TRUE,1,0)</f>
        <v>0</v>
      </c>
      <c r="Q365" s="170"/>
      <c r="R365" s="170">
        <f>IF(AND(Daten!$AC365&lt;='Material+Limits'!$I$58,Daten!$AD365&gt;='Material+Limits'!$I$58)=TRUE,1,0)</f>
        <v>0</v>
      </c>
      <c r="S365" s="29">
        <f ca="1">IF(Daten!$X365=Sprache!$A$125,1,0)</f>
        <v>1</v>
      </c>
      <c r="T365" s="28" t="str">
        <f ca="1">Sprache!$A$59</f>
        <v>Podnośnik S-35</v>
      </c>
      <c r="U365" s="32">
        <v>13</v>
      </c>
      <c r="V365" s="29">
        <v>17</v>
      </c>
      <c r="W365" s="30">
        <f ca="1">Sprache!$A$132</f>
        <v>0</v>
      </c>
      <c r="X365" s="30">
        <f ca="1">Sprache!$A$126</f>
        <v>0</v>
      </c>
      <c r="Y365" s="30" t="str">
        <f ca="1">Sprache!$A$69</f>
        <v>Front</v>
      </c>
      <c r="Z365" s="30">
        <v>600</v>
      </c>
      <c r="AA365" s="28">
        <v>629</v>
      </c>
      <c r="AB365" s="30"/>
      <c r="AC365" s="31">
        <v>10.5</v>
      </c>
      <c r="AD365" s="53">
        <v>15.5</v>
      </c>
      <c r="AE365" s="30" t="s">
        <v>817</v>
      </c>
      <c r="AF365" s="30" t="str">
        <f ca="1">Sprache!$A$101</f>
        <v>Zestaw (prawy+lewy)</v>
      </c>
      <c r="AG365" s="30" t="s">
        <v>26</v>
      </c>
      <c r="AH365" s="30" t="str">
        <f ca="1">Sprache!$A$113</f>
        <v>Siłownik D</v>
      </c>
      <c r="AI365" s="30" t="str">
        <f ca="1">Sprache!$A$137</f>
        <v>Adapter do ram aluminiowych, do Kinvaro S-35 zest.</v>
      </c>
      <c r="AJ365" s="243" t="s">
        <v>819</v>
      </c>
      <c r="AK365" s="30">
        <v>450</v>
      </c>
      <c r="AL365" s="28">
        <v>1200</v>
      </c>
      <c r="AM365" s="30"/>
      <c r="AN365" s="28"/>
    </row>
    <row r="366" spans="1:48" x14ac:dyDescent="0.25">
      <c r="A366" t="str">
        <f t="shared" ca="1" si="11"/>
        <v/>
      </c>
      <c r="B366" t="str">
        <f t="shared" ca="1" si="10"/>
        <v/>
      </c>
      <c r="C366" s="79">
        <f>IF('Material+Limits'!$P$5=TRUE,1,0)</f>
        <v>0</v>
      </c>
      <c r="D366" s="39">
        <f>IF(Daten!$O366+Daten!$P366+Daten!$R366=3,1,0)</f>
        <v>0</v>
      </c>
      <c r="E366" s="184">
        <f ca="1">IF(AND('Material+Limits'!$Q$21=TRUE,Daten!N366=1)=TRUE,1,0)</f>
        <v>1</v>
      </c>
      <c r="F366" s="185">
        <f ca="1">IF(AND('Material+Limits'!$Q$25=TRUE,Daten!M366=1)=TRUE,1,0)</f>
        <v>0</v>
      </c>
      <c r="G366" s="185">
        <f ca="1">IF(AND('Material+Limits'!$Q$24=TRUE,Daten!L366=1)=TRUE,1,0)</f>
        <v>0</v>
      </c>
      <c r="H366" s="185">
        <f ca="1">IF(AND('Material+Limits'!$Q$23=TRUE,Daten!K366=1)=TRUE,1,0)</f>
        <v>0</v>
      </c>
      <c r="I366" s="185">
        <f ca="1">IF(AND('Material+Limits'!$Q$22=TRUE,Daten!J366=1)=TRUE,1,0)</f>
        <v>0</v>
      </c>
      <c r="J366" s="158">
        <f ca="1">IF(Daten!$U366=13,1,0)</f>
        <v>0</v>
      </c>
      <c r="K366" s="159">
        <f ca="1">IF(Daten!$U366&lt;&gt;Daten!$V366,1,IF(Daten!$U366=14,1,0))</f>
        <v>0</v>
      </c>
      <c r="L366" s="159">
        <f ca="1">IF(Daten!$U366&lt;&gt;Daten!$V366,1,IF(Daten!$U366=16,1,0))</f>
        <v>0</v>
      </c>
      <c r="M366" s="159">
        <f ca="1">IF(Daten!$V366=17,1,0)</f>
        <v>0</v>
      </c>
      <c r="N366" s="160">
        <f ca="1">IF(Daten!$W366=Sprache!$A$60,1,0)</f>
        <v>1</v>
      </c>
      <c r="O366" s="173">
        <f>IF(AND(Daten!$AK366&lt;=KINVARO!$AW$3,Daten!$AL366&gt;=KINVARO!$AW$3)=TRUE,1,0)</f>
        <v>1</v>
      </c>
      <c r="P366" s="174">
        <f>IF(AND(Daten!$Z366&lt;=KINVARO!$AW$4,Daten!$AA366&gt;=KINVARO!$AW$4)=TRUE,1,0)</f>
        <v>0</v>
      </c>
      <c r="Q366" s="174"/>
      <c r="R366" s="174">
        <f>IF(AND(Daten!$AC366&lt;='Material+Limits'!$I$58,Daten!$AD366&gt;='Material+Limits'!$I$58)=TRUE,1,0)</f>
        <v>0</v>
      </c>
      <c r="S366" s="38">
        <f ca="1">IF(Daten!$X366=Sprache!$A$125,1,0)</f>
        <v>1</v>
      </c>
      <c r="T366" s="57" t="str">
        <f ca="1">Sprache!$A$59</f>
        <v>Podnośnik S-35</v>
      </c>
      <c r="U366" s="55">
        <f ca="1">Sprache!$A$64</f>
        <v>0</v>
      </c>
      <c r="V366" s="38">
        <f ca="1">Sprache!$A$64</f>
        <v>0</v>
      </c>
      <c r="W366" s="56" t="str">
        <f ca="1">Sprache!$A$60</f>
        <v>Front lity (drewno/płyta)</v>
      </c>
      <c r="X366" s="25">
        <f ca="1">Sprache!$A$126</f>
        <v>0</v>
      </c>
      <c r="Y366" s="56" t="str">
        <f ca="1">Sprache!$A$69</f>
        <v>Front</v>
      </c>
      <c r="Z366" s="56">
        <v>630</v>
      </c>
      <c r="AA366" s="57">
        <v>659</v>
      </c>
      <c r="AB366" s="56"/>
      <c r="AC366" s="58">
        <v>2</v>
      </c>
      <c r="AD366" s="59">
        <v>5.5</v>
      </c>
      <c r="AE366" s="56" t="s">
        <v>814</v>
      </c>
      <c r="AF366" s="56" t="str">
        <f ca="1">Sprache!$A$101</f>
        <v>Zestaw (prawy+lewy)</v>
      </c>
      <c r="AG366" s="56" t="s">
        <v>26</v>
      </c>
      <c r="AH366" s="56" t="str">
        <f ca="1">Sprache!$A$110</f>
        <v>Siłownik A</v>
      </c>
      <c r="AI366" s="56" t="s">
        <v>26</v>
      </c>
      <c r="AJ366" s="56" t="s">
        <v>26</v>
      </c>
      <c r="AK366" s="56">
        <v>450</v>
      </c>
      <c r="AL366" s="57">
        <v>1200</v>
      </c>
      <c r="AM366" s="30"/>
      <c r="AN366" s="24"/>
      <c r="AO366"/>
      <c r="AR366"/>
      <c r="AS366"/>
      <c r="AT366"/>
      <c r="AU366"/>
      <c r="AV366"/>
    </row>
    <row r="367" spans="1:48" x14ac:dyDescent="0.25">
      <c r="A367" t="str">
        <f t="shared" ca="1" si="11"/>
        <v/>
      </c>
      <c r="B367" t="str">
        <f t="shared" ca="1" si="10"/>
        <v/>
      </c>
      <c r="C367" s="79">
        <f>IF('Material+Limits'!$P$5=TRUE,1,0)</f>
        <v>0</v>
      </c>
      <c r="D367" s="39">
        <f>IF(Daten!$O367+Daten!$P367+Daten!$R367=3,1,0)</f>
        <v>0</v>
      </c>
      <c r="E367" s="184">
        <f ca="1">IF(AND('Material+Limits'!$Q$21=TRUE,Daten!N367=1)=TRUE,1,0)</f>
        <v>1</v>
      </c>
      <c r="F367" s="185">
        <f ca="1">IF(AND('Material+Limits'!$Q$25=TRUE,Daten!M367=1)=TRUE,1,0)</f>
        <v>0</v>
      </c>
      <c r="G367" s="185">
        <f ca="1">IF(AND('Material+Limits'!$Q$24=TRUE,Daten!L367=1)=TRUE,1,0)</f>
        <v>0</v>
      </c>
      <c r="H367" s="185">
        <f ca="1">IF(AND('Material+Limits'!$Q$23=TRUE,Daten!K367=1)=TRUE,1,0)</f>
        <v>0</v>
      </c>
      <c r="I367" s="185">
        <f ca="1">IF(AND('Material+Limits'!$Q$22=TRUE,Daten!J367=1)=TRUE,1,0)</f>
        <v>0</v>
      </c>
      <c r="J367" s="155">
        <f ca="1">IF(Daten!$U367=13,1,0)</f>
        <v>0</v>
      </c>
      <c r="K367" s="156">
        <f ca="1">IF(Daten!$U367&lt;&gt;Daten!$V367,1,IF(Daten!$U367=14,1,0))</f>
        <v>0</v>
      </c>
      <c r="L367" s="156">
        <f ca="1">IF(Daten!$U367&lt;&gt;Daten!$V367,1,IF(Daten!$U367=16,1,0))</f>
        <v>0</v>
      </c>
      <c r="M367" s="156">
        <f ca="1">IF(Daten!$V367=17,1,0)</f>
        <v>0</v>
      </c>
      <c r="N367" s="157">
        <f ca="1">IF(Daten!$W367=Sprache!$A$60,1,0)</f>
        <v>1</v>
      </c>
      <c r="O367" s="169">
        <f>IF(AND(Daten!$AK367&lt;=KINVARO!$AW$3,Daten!$AL367&gt;=KINVARO!$AW$3)=TRUE,1,0)</f>
        <v>1</v>
      </c>
      <c r="P367" s="170">
        <f>IF(AND(Daten!$Z367&lt;=KINVARO!$AW$4,Daten!$AA367&gt;=KINVARO!$AW$4)=TRUE,1,0)</f>
        <v>0</v>
      </c>
      <c r="R367" s="170">
        <f>IF(AND(Daten!$AC367&lt;='Material+Limits'!$I$58,Daten!$AD367&gt;='Material+Limits'!$I$58)=TRUE,1,0)</f>
        <v>1</v>
      </c>
      <c r="S367" s="29">
        <f ca="1">IF(Daten!$X367=Sprache!$A$125,1,0)</f>
        <v>1</v>
      </c>
      <c r="T367" s="28" t="str">
        <f ca="1">Sprache!$A$59</f>
        <v>Podnośnik S-35</v>
      </c>
      <c r="U367" s="32">
        <f ca="1">Sprache!$A$64</f>
        <v>0</v>
      </c>
      <c r="V367" s="29">
        <f ca="1">Sprache!$A$64</f>
        <v>0</v>
      </c>
      <c r="W367" s="30" t="str">
        <f ca="1">Sprache!$A$60</f>
        <v>Front lity (drewno/płyta)</v>
      </c>
      <c r="X367" s="30">
        <f ca="1">Sprache!$A$126</f>
        <v>0</v>
      </c>
      <c r="Y367" s="30" t="str">
        <f ca="1">Sprache!$A$69</f>
        <v>Front</v>
      </c>
      <c r="Z367" s="30">
        <v>630</v>
      </c>
      <c r="AA367" s="28">
        <v>659</v>
      </c>
      <c r="AB367" s="30"/>
      <c r="AC367" s="31">
        <v>4.5</v>
      </c>
      <c r="AD367" s="53">
        <v>11</v>
      </c>
      <c r="AE367" s="30" t="s">
        <v>816</v>
      </c>
      <c r="AF367" s="30" t="str">
        <f ca="1">Sprache!$A$101</f>
        <v>Zestaw (prawy+lewy)</v>
      </c>
      <c r="AG367" s="30" t="s">
        <v>26</v>
      </c>
      <c r="AH367" s="30" t="str">
        <f ca="1">Sprache!$A$112</f>
        <v>Siłownik C</v>
      </c>
      <c r="AI367" s="30" t="s">
        <v>26</v>
      </c>
      <c r="AJ367" s="30" t="s">
        <v>26</v>
      </c>
      <c r="AK367" s="30">
        <v>450</v>
      </c>
      <c r="AL367" s="28">
        <v>1200</v>
      </c>
      <c r="AM367" s="30"/>
      <c r="AN367" s="28"/>
      <c r="AO367"/>
      <c r="AR367"/>
      <c r="AS367"/>
      <c r="AT367"/>
      <c r="AU367"/>
      <c r="AV367"/>
    </row>
    <row r="368" spans="1:48" x14ac:dyDescent="0.25">
      <c r="A368" t="str">
        <f t="shared" ca="1" si="11"/>
        <v/>
      </c>
      <c r="B368" t="str">
        <f t="shared" ca="1" si="10"/>
        <v/>
      </c>
      <c r="C368" s="79">
        <f>IF('Material+Limits'!$P$5=TRUE,1,0)</f>
        <v>0</v>
      </c>
      <c r="D368" s="39">
        <f>IF(Daten!$O368+Daten!$P368+Daten!$R368=3,1,0)</f>
        <v>0</v>
      </c>
      <c r="E368" s="184">
        <f ca="1">IF(AND('Material+Limits'!$Q$21=TRUE,Daten!N368=1)=TRUE,1,0)</f>
        <v>1</v>
      </c>
      <c r="F368" s="185">
        <f ca="1">IF(AND('Material+Limits'!$Q$25=TRUE,Daten!M368=1)=TRUE,1,0)</f>
        <v>0</v>
      </c>
      <c r="G368" s="185">
        <f ca="1">IF(AND('Material+Limits'!$Q$24=TRUE,Daten!L368=1)=TRUE,1,0)</f>
        <v>0</v>
      </c>
      <c r="H368" s="185">
        <f ca="1">IF(AND('Material+Limits'!$Q$23=TRUE,Daten!K368=1)=TRUE,1,0)</f>
        <v>0</v>
      </c>
      <c r="I368" s="185">
        <f ca="1">IF(AND('Material+Limits'!$Q$22=TRUE,Daten!J368=1)=TRUE,1,0)</f>
        <v>0</v>
      </c>
      <c r="J368" s="158">
        <f ca="1">IF(Daten!$U368=13,1,0)</f>
        <v>0</v>
      </c>
      <c r="K368" s="159">
        <f ca="1">IF(Daten!$U368&lt;&gt;Daten!$V368,1,IF(Daten!$U368=14,1,0))</f>
        <v>0</v>
      </c>
      <c r="L368" s="159">
        <f ca="1">IF(Daten!$U368&lt;&gt;Daten!$V368,1,IF(Daten!$U368=16,1,0))</f>
        <v>0</v>
      </c>
      <c r="M368" s="159">
        <f ca="1">IF(Daten!$V368=17,1,0)</f>
        <v>0</v>
      </c>
      <c r="N368" s="160">
        <f ca="1">IF(Daten!$W368=Sprache!$A$60,1,0)</f>
        <v>1</v>
      </c>
      <c r="O368" s="171">
        <f>IF(AND(Daten!$AK368&lt;=KINVARO!$AW$3,Daten!$AL368&gt;=KINVARO!$AW$3)=TRUE,1,0)</f>
        <v>1</v>
      </c>
      <c r="P368" s="172">
        <f>IF(AND(Daten!$Z368&lt;=KINVARO!$AW$4,Daten!$AA368&gt;=KINVARO!$AW$4)=TRUE,1,0)</f>
        <v>0</v>
      </c>
      <c r="Q368" s="172"/>
      <c r="R368" s="172">
        <f>IF(AND(Daten!$AC368&lt;='Material+Limits'!$I$58,Daten!$AD368&gt;='Material+Limits'!$I$58)=TRUE,1,0)</f>
        <v>0</v>
      </c>
      <c r="S368" s="23">
        <f ca="1">IF(Daten!$X368=Sprache!$A$125,1,0)</f>
        <v>1</v>
      </c>
      <c r="T368" s="24" t="str">
        <f ca="1">Sprache!$A$59</f>
        <v>Podnośnik S-35</v>
      </c>
      <c r="U368" s="27">
        <f ca="1">Sprache!$A$64</f>
        <v>0</v>
      </c>
      <c r="V368" s="23">
        <f ca="1">Sprache!$A$64</f>
        <v>0</v>
      </c>
      <c r="W368" s="25" t="str">
        <f ca="1">Sprache!$A$60</f>
        <v>Front lity (drewno/płyta)</v>
      </c>
      <c r="X368" s="25">
        <f ca="1">Sprache!$A$126</f>
        <v>0</v>
      </c>
      <c r="Y368" s="25" t="str">
        <f ca="1">Sprache!$A$69</f>
        <v>Front</v>
      </c>
      <c r="Z368" s="25">
        <v>630</v>
      </c>
      <c r="AA368" s="24">
        <v>659</v>
      </c>
      <c r="AB368" s="25"/>
      <c r="AC368" s="26">
        <v>8.5</v>
      </c>
      <c r="AD368" s="54">
        <v>16</v>
      </c>
      <c r="AE368" s="25" t="s">
        <v>817</v>
      </c>
      <c r="AF368" s="25" t="str">
        <f ca="1">Sprache!$A$101</f>
        <v>Zestaw (prawy+lewy)</v>
      </c>
      <c r="AG368" s="25" t="s">
        <v>26</v>
      </c>
      <c r="AH368" s="25" t="str">
        <f ca="1">Sprache!$A$113</f>
        <v>Siłownik D</v>
      </c>
      <c r="AI368" s="25" t="s">
        <v>26</v>
      </c>
      <c r="AJ368" s="25" t="s">
        <v>26</v>
      </c>
      <c r="AK368" s="25">
        <v>450</v>
      </c>
      <c r="AL368" s="24">
        <v>1200</v>
      </c>
      <c r="AM368" s="30"/>
      <c r="AN368" s="24"/>
      <c r="AO368"/>
      <c r="AR368"/>
      <c r="AS368"/>
      <c r="AT368"/>
      <c r="AU368"/>
      <c r="AV368"/>
    </row>
    <row r="369" spans="1:48" x14ac:dyDescent="0.25">
      <c r="A369" t="str">
        <f t="shared" ca="1" si="11"/>
        <v/>
      </c>
      <c r="B369" t="str">
        <f t="shared" ca="1" si="10"/>
        <v/>
      </c>
      <c r="C369" s="79">
        <f>IF('Material+Limits'!$P$5=TRUE,1,0)</f>
        <v>0</v>
      </c>
      <c r="D369" s="39">
        <f>IF(Daten!$O369+Daten!$P369+Daten!$R369=3,1,0)</f>
        <v>0</v>
      </c>
      <c r="E369" s="184">
        <f ca="1">IF(AND('Material+Limits'!$Q$21=TRUE,Daten!N369=1)=TRUE,1,0)</f>
        <v>0</v>
      </c>
      <c r="F369" s="185">
        <f>IF(AND('Material+Limits'!$Q$25=TRUE,Daten!M369=1)=TRUE,1,0)</f>
        <v>0</v>
      </c>
      <c r="G369" s="185">
        <f>IF(AND('Material+Limits'!$Q$24=TRUE,Daten!L369=1)=TRUE,1,0)</f>
        <v>0</v>
      </c>
      <c r="H369" s="185">
        <f>IF(AND('Material+Limits'!$Q$23=TRUE,Daten!K369=1)=TRUE,1,0)</f>
        <v>0</v>
      </c>
      <c r="I369" s="185">
        <f>IF(AND('Material+Limits'!$Q$22=TRUE,Daten!J369=1)=TRUE,1,0)</f>
        <v>0</v>
      </c>
      <c r="J369" s="155">
        <f>IF(Daten!$U369=13,1,0)</f>
        <v>1</v>
      </c>
      <c r="K369" s="156">
        <f>IF(Daten!$U369&lt;&gt;Daten!$V369,1,IF(Daten!$U369=14,1,0))</f>
        <v>1</v>
      </c>
      <c r="L369" s="156">
        <f>IF(Daten!$U369&lt;&gt;Daten!$V369,1,IF(Daten!$U369=16,1,0))</f>
        <v>1</v>
      </c>
      <c r="M369" s="156">
        <f>IF(Daten!$V369=17,1,0)</f>
        <v>1</v>
      </c>
      <c r="N369" s="157">
        <f ca="1">IF(Daten!$W369=Sprache!$A$60,1,0)</f>
        <v>0</v>
      </c>
      <c r="O369" s="169">
        <f>IF(AND(Daten!$AK369&lt;=KINVARO!$AW$3,Daten!$AL369&gt;=KINVARO!$AW$3)=TRUE,1,0)</f>
        <v>1</v>
      </c>
      <c r="P369" s="170">
        <f>IF(AND(Daten!$Z369&lt;=KINVARO!$AW$4,Daten!$AA369&gt;=KINVARO!$AW$4)=TRUE,1,0)</f>
        <v>0</v>
      </c>
      <c r="R369" s="170">
        <f>IF(AND(Daten!$AC369&lt;='Material+Limits'!$I$58,Daten!$AD369&gt;='Material+Limits'!$I$58)=TRUE,1,0)</f>
        <v>0</v>
      </c>
      <c r="S369" s="29">
        <f ca="1">IF(Daten!$X369=Sprache!$A$125,1,0)</f>
        <v>1</v>
      </c>
      <c r="T369" s="28" t="str">
        <f ca="1">Sprache!$A$59</f>
        <v>Podnośnik S-35</v>
      </c>
      <c r="U369" s="32">
        <v>13</v>
      </c>
      <c r="V369" s="29">
        <v>17</v>
      </c>
      <c r="W369" s="30">
        <f ca="1">Sprache!$A$132</f>
        <v>0</v>
      </c>
      <c r="X369" s="30">
        <f ca="1">Sprache!$A$126</f>
        <v>0</v>
      </c>
      <c r="Y369" s="30" t="str">
        <f ca="1">Sprache!$A$69</f>
        <v>Front</v>
      </c>
      <c r="Z369" s="30">
        <v>630</v>
      </c>
      <c r="AA369" s="28">
        <v>659</v>
      </c>
      <c r="AB369" s="30"/>
      <c r="AC369" s="31">
        <v>2</v>
      </c>
      <c r="AD369" s="53">
        <v>5.5</v>
      </c>
      <c r="AE369" s="30" t="s">
        <v>814</v>
      </c>
      <c r="AF369" s="30" t="str">
        <f ca="1">Sprache!$A$101</f>
        <v>Zestaw (prawy+lewy)</v>
      </c>
      <c r="AG369" s="30" t="s">
        <v>26</v>
      </c>
      <c r="AH369" s="30" t="str">
        <f ca="1">Sprache!$A$110</f>
        <v>Siłownik A</v>
      </c>
      <c r="AI369" s="30" t="str">
        <f ca="1">Sprache!$A$137</f>
        <v>Adapter do ram aluminiowych, do Kinvaro S-35 zest.</v>
      </c>
      <c r="AJ369" s="243" t="s">
        <v>819</v>
      </c>
      <c r="AK369" s="30">
        <v>450</v>
      </c>
      <c r="AL369" s="28">
        <v>1200</v>
      </c>
      <c r="AM369" s="30"/>
      <c r="AN369" s="28"/>
      <c r="AO369"/>
      <c r="AR369"/>
      <c r="AS369"/>
      <c r="AT369"/>
      <c r="AU369"/>
      <c r="AV369"/>
    </row>
    <row r="370" spans="1:48" x14ac:dyDescent="0.25">
      <c r="A370" t="str">
        <f t="shared" ca="1" si="11"/>
        <v/>
      </c>
      <c r="B370" t="str">
        <f t="shared" ca="1" si="10"/>
        <v/>
      </c>
      <c r="C370" s="79">
        <f>IF('Material+Limits'!$P$5=TRUE,1,0)</f>
        <v>0</v>
      </c>
      <c r="D370" s="39">
        <f>IF(Daten!$O370+Daten!$P370+Daten!$R370=3,1,0)</f>
        <v>0</v>
      </c>
      <c r="E370" s="184">
        <f ca="1">IF(AND('Material+Limits'!$Q$21=TRUE,Daten!N370=1)=TRUE,1,0)</f>
        <v>0</v>
      </c>
      <c r="F370" s="185">
        <f>IF(AND('Material+Limits'!$Q$25=TRUE,Daten!M370=1)=TRUE,1,0)</f>
        <v>0</v>
      </c>
      <c r="G370" s="185">
        <f>IF(AND('Material+Limits'!$Q$24=TRUE,Daten!L370=1)=TRUE,1,0)</f>
        <v>0</v>
      </c>
      <c r="H370" s="185">
        <f>IF(AND('Material+Limits'!$Q$23=TRUE,Daten!K370=1)=TRUE,1,0)</f>
        <v>0</v>
      </c>
      <c r="I370" s="185">
        <f>IF(AND('Material+Limits'!$Q$22=TRUE,Daten!J370=1)=TRUE,1,0)</f>
        <v>0</v>
      </c>
      <c r="J370" s="158">
        <f>IF(Daten!$U370=13,1,0)</f>
        <v>1</v>
      </c>
      <c r="K370" s="159">
        <f>IF(Daten!$U370&lt;&gt;Daten!$V370,1,IF(Daten!$U370=14,1,0))</f>
        <v>1</v>
      </c>
      <c r="L370" s="159">
        <f>IF(Daten!$U370&lt;&gt;Daten!$V370,1,IF(Daten!$U370=16,1,0))</f>
        <v>1</v>
      </c>
      <c r="M370" s="159">
        <f>IF(Daten!$V370=17,1,0)</f>
        <v>1</v>
      </c>
      <c r="N370" s="160">
        <f ca="1">IF(Daten!$W370=Sprache!$A$60,1,0)</f>
        <v>0</v>
      </c>
      <c r="O370" s="171">
        <f>IF(AND(Daten!$AK370&lt;=KINVARO!$AW$3,Daten!$AL370&gt;=KINVARO!$AW$3)=TRUE,1,0)</f>
        <v>1</v>
      </c>
      <c r="P370" s="172">
        <f>IF(AND(Daten!$Z370&lt;=KINVARO!$AW$4,Daten!$AA370&gt;=KINVARO!$AW$4)=TRUE,1,0)</f>
        <v>0</v>
      </c>
      <c r="Q370" s="172"/>
      <c r="R370" s="172">
        <f>IF(AND(Daten!$AC370&lt;='Material+Limits'!$I$58,Daten!$AD370&gt;='Material+Limits'!$I$58)=TRUE,1,0)</f>
        <v>1</v>
      </c>
      <c r="S370" s="23">
        <f ca="1">IF(Daten!$X370=Sprache!$A$125,1,0)</f>
        <v>1</v>
      </c>
      <c r="T370" s="24" t="str">
        <f ca="1">Sprache!$A$59</f>
        <v>Podnośnik S-35</v>
      </c>
      <c r="U370" s="27">
        <v>13</v>
      </c>
      <c r="V370" s="23">
        <v>17</v>
      </c>
      <c r="W370" s="25">
        <f ca="1">Sprache!$A$132</f>
        <v>0</v>
      </c>
      <c r="X370" s="25">
        <f ca="1">Sprache!$A$126</f>
        <v>0</v>
      </c>
      <c r="Y370" s="25" t="str">
        <f ca="1">Sprache!$A$69</f>
        <v>Front</v>
      </c>
      <c r="Z370" s="25">
        <v>630</v>
      </c>
      <c r="AA370" s="24">
        <v>659</v>
      </c>
      <c r="AB370" s="25"/>
      <c r="AC370" s="26">
        <v>4.5</v>
      </c>
      <c r="AD370" s="54">
        <v>11</v>
      </c>
      <c r="AE370" s="25" t="s">
        <v>816</v>
      </c>
      <c r="AF370" s="25" t="str">
        <f ca="1">Sprache!$A$101</f>
        <v>Zestaw (prawy+lewy)</v>
      </c>
      <c r="AG370" s="25" t="s">
        <v>26</v>
      </c>
      <c r="AH370" s="25" t="str">
        <f ca="1">Sprache!$A$112</f>
        <v>Siłownik C</v>
      </c>
      <c r="AI370" s="25" t="str">
        <f ca="1">Sprache!$A$137</f>
        <v>Adapter do ram aluminiowych, do Kinvaro S-35 zest.</v>
      </c>
      <c r="AJ370" s="242" t="s">
        <v>819</v>
      </c>
      <c r="AK370" s="25">
        <v>450</v>
      </c>
      <c r="AL370" s="24">
        <v>1200</v>
      </c>
      <c r="AM370" s="30"/>
      <c r="AN370" s="24"/>
      <c r="AO370"/>
      <c r="AR370"/>
      <c r="AS370"/>
      <c r="AT370"/>
      <c r="AU370"/>
      <c r="AV370"/>
    </row>
    <row r="371" spans="1:48" s="5" customFormat="1" x14ac:dyDescent="0.25">
      <c r="A371" t="str">
        <f t="shared" ca="1" si="11"/>
        <v/>
      </c>
      <c r="B371" t="str">
        <f t="shared" ca="1" si="10"/>
        <v/>
      </c>
      <c r="C371" s="79">
        <f>IF('Material+Limits'!$P$5=TRUE,1,0)</f>
        <v>0</v>
      </c>
      <c r="D371" s="39">
        <f>IF(Daten!$O371+Daten!$P371+Daten!$R371=3,1,0)</f>
        <v>0</v>
      </c>
      <c r="E371" s="184">
        <f ca="1">IF(AND('Material+Limits'!$Q$21=TRUE,Daten!N371=1)=TRUE,1,0)</f>
        <v>0</v>
      </c>
      <c r="F371" s="185">
        <f>IF(AND('Material+Limits'!$Q$25=TRUE,Daten!M371=1)=TRUE,1,0)</f>
        <v>0</v>
      </c>
      <c r="G371" s="185">
        <f>IF(AND('Material+Limits'!$Q$24=TRUE,Daten!L371=1)=TRUE,1,0)</f>
        <v>0</v>
      </c>
      <c r="H371" s="185">
        <f>IF(AND('Material+Limits'!$Q$23=TRUE,Daten!K371=1)=TRUE,1,0)</f>
        <v>0</v>
      </c>
      <c r="I371" s="185">
        <f>IF(AND('Material+Limits'!$Q$22=TRUE,Daten!J371=1)=TRUE,1,0)</f>
        <v>0</v>
      </c>
      <c r="J371" s="155">
        <f>IF(Daten!$U371=13,1,0)</f>
        <v>1</v>
      </c>
      <c r="K371" s="156">
        <f>IF(Daten!$U371&lt;&gt;Daten!$V371,1,IF(Daten!$U371=14,1,0))</f>
        <v>1</v>
      </c>
      <c r="L371" s="156">
        <f>IF(Daten!$U371&lt;&gt;Daten!$V371,1,IF(Daten!$U371=16,1,0))</f>
        <v>1</v>
      </c>
      <c r="M371" s="156">
        <f>IF(Daten!$V371=17,1,0)</f>
        <v>1</v>
      </c>
      <c r="N371" s="157">
        <f ca="1">IF(Daten!$W371=Sprache!$A$60,1,0)</f>
        <v>0</v>
      </c>
      <c r="O371" s="169">
        <f>IF(AND(Daten!$AK371&lt;=KINVARO!$AW$3,Daten!$AL371&gt;=KINVARO!$AW$3)=TRUE,1,0)</f>
        <v>1</v>
      </c>
      <c r="P371" s="170">
        <f>IF(AND(Daten!$Z371&lt;=KINVARO!$AW$4,Daten!$AA371&gt;=KINVARO!$AW$4)=TRUE,1,0)</f>
        <v>0</v>
      </c>
      <c r="Q371" s="170"/>
      <c r="R371" s="170">
        <f>IF(AND(Daten!$AC371&lt;='Material+Limits'!$I$58,Daten!$AD371&gt;='Material+Limits'!$I$58)=TRUE,1,0)</f>
        <v>0</v>
      </c>
      <c r="S371" s="29">
        <f ca="1">IF(Daten!$X371=Sprache!$A$125,1,0)</f>
        <v>1</v>
      </c>
      <c r="T371" s="28" t="str">
        <f ca="1">Sprache!$A$59</f>
        <v>Podnośnik S-35</v>
      </c>
      <c r="U371" s="32">
        <v>13</v>
      </c>
      <c r="V371" s="29">
        <v>17</v>
      </c>
      <c r="W371" s="30">
        <f ca="1">Sprache!$A$132</f>
        <v>0</v>
      </c>
      <c r="X371" s="30">
        <f ca="1">Sprache!$A$126</f>
        <v>0</v>
      </c>
      <c r="Y371" s="30" t="str">
        <f ca="1">Sprache!$A$69</f>
        <v>Front</v>
      </c>
      <c r="Z371" s="30">
        <v>630</v>
      </c>
      <c r="AA371" s="28">
        <v>659</v>
      </c>
      <c r="AB371" s="30"/>
      <c r="AC371" s="31">
        <v>8.5</v>
      </c>
      <c r="AD371" s="53">
        <v>16</v>
      </c>
      <c r="AE371" s="30" t="s">
        <v>817</v>
      </c>
      <c r="AF371" s="30" t="str">
        <f ca="1">Sprache!$A$101</f>
        <v>Zestaw (prawy+lewy)</v>
      </c>
      <c r="AG371" s="30" t="s">
        <v>26</v>
      </c>
      <c r="AH371" s="30" t="str">
        <f ca="1">Sprache!$A$113</f>
        <v>Siłownik D</v>
      </c>
      <c r="AI371" s="30" t="str">
        <f ca="1">Sprache!$A$137</f>
        <v>Adapter do ram aluminiowych, do Kinvaro S-35 zest.</v>
      </c>
      <c r="AJ371" s="243" t="s">
        <v>819</v>
      </c>
      <c r="AK371" s="30">
        <v>450</v>
      </c>
      <c r="AL371" s="28">
        <v>1200</v>
      </c>
      <c r="AM371" s="30"/>
      <c r="AN371" s="28"/>
    </row>
    <row r="372" spans="1:48" x14ac:dyDescent="0.25">
      <c r="A372" t="str">
        <f t="shared" ca="1" si="11"/>
        <v/>
      </c>
      <c r="B372" t="str">
        <f t="shared" ca="1" si="10"/>
        <v/>
      </c>
      <c r="C372" s="79">
        <f>IF('Material+Limits'!$P$5=TRUE,1,0)</f>
        <v>0</v>
      </c>
      <c r="D372" s="39">
        <f>IF(Daten!$O372+Daten!$P372+Daten!$R372=3,1,0)</f>
        <v>0</v>
      </c>
      <c r="E372" s="184">
        <f ca="1">IF(AND('Material+Limits'!$Q$21=TRUE,Daten!N372=1)=TRUE,1,0)</f>
        <v>1</v>
      </c>
      <c r="F372" s="185">
        <f ca="1">IF(AND('Material+Limits'!$Q$25=TRUE,Daten!M372=1)=TRUE,1,0)</f>
        <v>0</v>
      </c>
      <c r="G372" s="185">
        <f ca="1">IF(AND('Material+Limits'!$Q$24=TRUE,Daten!L372=1)=TRUE,1,0)</f>
        <v>0</v>
      </c>
      <c r="H372" s="185">
        <f ca="1">IF(AND('Material+Limits'!$Q$23=TRUE,Daten!K372=1)=TRUE,1,0)</f>
        <v>0</v>
      </c>
      <c r="I372" s="185">
        <f ca="1">IF(AND('Material+Limits'!$Q$22=TRUE,Daten!J372=1)=TRUE,1,0)</f>
        <v>0</v>
      </c>
      <c r="J372" s="158">
        <f ca="1">IF(Daten!$U372=13,1,0)</f>
        <v>0</v>
      </c>
      <c r="K372" s="159">
        <f ca="1">IF(Daten!$U372&lt;&gt;Daten!$V372,1,IF(Daten!$U372=14,1,0))</f>
        <v>0</v>
      </c>
      <c r="L372" s="159">
        <f ca="1">IF(Daten!$U372&lt;&gt;Daten!$V372,1,IF(Daten!$U372=16,1,0))</f>
        <v>0</v>
      </c>
      <c r="M372" s="159">
        <f ca="1">IF(Daten!$V372=17,1,0)</f>
        <v>0</v>
      </c>
      <c r="N372" s="160">
        <f ca="1">IF(Daten!$W372=Sprache!$A$60,1,0)</f>
        <v>1</v>
      </c>
      <c r="O372" s="173">
        <f>IF(AND(Daten!$AK372&lt;=KINVARO!$AW$3,Daten!$AL372&gt;=KINVARO!$AW$3)=TRUE,1,0)</f>
        <v>1</v>
      </c>
      <c r="P372" s="174">
        <f>IF(AND(Daten!$Z372&lt;=KINVARO!$AW$4,Daten!$AA372&gt;=KINVARO!$AW$4)=TRUE,1,0)</f>
        <v>0</v>
      </c>
      <c r="Q372" s="174"/>
      <c r="R372" s="174">
        <f>IF(AND(Daten!$AC372&lt;='Material+Limits'!$I$58,Daten!$AD372&gt;='Material+Limits'!$I$58)=TRUE,1,0)</f>
        <v>0</v>
      </c>
      <c r="S372" s="38">
        <f ca="1">IF(Daten!$X372=Sprache!$A$125,1,0)</f>
        <v>1</v>
      </c>
      <c r="T372" s="57" t="str">
        <f ca="1">Sprache!$A$59</f>
        <v>Podnośnik S-35</v>
      </c>
      <c r="U372" s="55">
        <f ca="1">Sprache!$A$64</f>
        <v>0</v>
      </c>
      <c r="V372" s="38">
        <f ca="1">Sprache!$A$64</f>
        <v>0</v>
      </c>
      <c r="W372" s="56" t="str">
        <f ca="1">Sprache!$A$60</f>
        <v>Front lity (drewno/płyta)</v>
      </c>
      <c r="X372" s="25">
        <f ca="1">Sprache!$A$126</f>
        <v>0</v>
      </c>
      <c r="Y372" s="56" t="str">
        <f ca="1">Sprache!$A$69</f>
        <v>Front</v>
      </c>
      <c r="Z372" s="56">
        <v>660</v>
      </c>
      <c r="AA372" s="57">
        <v>689</v>
      </c>
      <c r="AB372" s="56"/>
      <c r="AC372" s="58">
        <v>2</v>
      </c>
      <c r="AD372" s="59">
        <v>5</v>
      </c>
      <c r="AE372" s="56" t="s">
        <v>814</v>
      </c>
      <c r="AF372" s="56" t="str">
        <f ca="1">Sprache!$A$101</f>
        <v>Zestaw (prawy+lewy)</v>
      </c>
      <c r="AG372" s="56" t="s">
        <v>26</v>
      </c>
      <c r="AH372" s="56" t="str">
        <f ca="1">Sprache!$A$110</f>
        <v>Siłownik A</v>
      </c>
      <c r="AI372" s="56" t="s">
        <v>26</v>
      </c>
      <c r="AJ372" s="56" t="s">
        <v>26</v>
      </c>
      <c r="AK372" s="56">
        <v>450</v>
      </c>
      <c r="AL372" s="57">
        <v>1200</v>
      </c>
      <c r="AM372" s="30"/>
      <c r="AN372" s="24"/>
      <c r="AO372"/>
      <c r="AR372"/>
      <c r="AS372"/>
      <c r="AT372"/>
      <c r="AU372"/>
      <c r="AV372"/>
    </row>
    <row r="373" spans="1:48" x14ac:dyDescent="0.25">
      <c r="A373" t="str">
        <f t="shared" ca="1" si="11"/>
        <v/>
      </c>
      <c r="B373" t="str">
        <f t="shared" ca="1" si="10"/>
        <v/>
      </c>
      <c r="C373" s="79">
        <f>IF('Material+Limits'!$P$5=TRUE,1,0)</f>
        <v>0</v>
      </c>
      <c r="D373" s="39">
        <f>IF(Daten!$O373+Daten!$P373+Daten!$R373=3,1,0)</f>
        <v>0</v>
      </c>
      <c r="E373" s="184">
        <f ca="1">IF(AND('Material+Limits'!$Q$21=TRUE,Daten!N373=1)=TRUE,1,0)</f>
        <v>1</v>
      </c>
      <c r="F373" s="185">
        <f ca="1">IF(AND('Material+Limits'!$Q$25=TRUE,Daten!M373=1)=TRUE,1,0)</f>
        <v>0</v>
      </c>
      <c r="G373" s="185">
        <f ca="1">IF(AND('Material+Limits'!$Q$24=TRUE,Daten!L373=1)=TRUE,1,0)</f>
        <v>0</v>
      </c>
      <c r="H373" s="185">
        <f ca="1">IF(AND('Material+Limits'!$Q$23=TRUE,Daten!K373=1)=TRUE,1,0)</f>
        <v>0</v>
      </c>
      <c r="I373" s="185">
        <f ca="1">IF(AND('Material+Limits'!$Q$22=TRUE,Daten!J373=1)=TRUE,1,0)</f>
        <v>0</v>
      </c>
      <c r="J373" s="155">
        <f ca="1">IF(Daten!$U373=13,1,0)</f>
        <v>0</v>
      </c>
      <c r="K373" s="156">
        <f ca="1">IF(Daten!$U373&lt;&gt;Daten!$V373,1,IF(Daten!$U373=14,1,0))</f>
        <v>0</v>
      </c>
      <c r="L373" s="156">
        <f ca="1">IF(Daten!$U373&lt;&gt;Daten!$V373,1,IF(Daten!$U373=16,1,0))</f>
        <v>0</v>
      </c>
      <c r="M373" s="156">
        <f ca="1">IF(Daten!$V373=17,1,0)</f>
        <v>0</v>
      </c>
      <c r="N373" s="157">
        <f ca="1">IF(Daten!$W373=Sprache!$A$60,1,0)</f>
        <v>1</v>
      </c>
      <c r="O373" s="169">
        <f>IF(AND(Daten!$AK373&lt;=KINVARO!$AW$3,Daten!$AL373&gt;=KINVARO!$AW$3)=TRUE,1,0)</f>
        <v>1</v>
      </c>
      <c r="P373" s="170">
        <f>IF(AND(Daten!$Z373&lt;=KINVARO!$AW$4,Daten!$AA373&gt;=KINVARO!$AW$4)=TRUE,1,0)</f>
        <v>0</v>
      </c>
      <c r="R373" s="170">
        <f>IF(AND(Daten!$AC373&lt;='Material+Limits'!$I$58,Daten!$AD373&gt;='Material+Limits'!$I$58)=TRUE,1,0)</f>
        <v>1</v>
      </c>
      <c r="S373" s="29">
        <f ca="1">IF(Daten!$X373=Sprache!$A$125,1,0)</f>
        <v>1</v>
      </c>
      <c r="T373" s="28" t="str">
        <f ca="1">Sprache!$A$59</f>
        <v>Podnośnik S-35</v>
      </c>
      <c r="U373" s="32">
        <f ca="1">Sprache!$A$64</f>
        <v>0</v>
      </c>
      <c r="V373" s="29">
        <f ca="1">Sprache!$A$64</f>
        <v>0</v>
      </c>
      <c r="W373" s="30" t="str">
        <f ca="1">Sprache!$A$60</f>
        <v>Front lity (drewno/płyta)</v>
      </c>
      <c r="X373" s="30">
        <f ca="1">Sprache!$A$126</f>
        <v>0</v>
      </c>
      <c r="Y373" s="30" t="str">
        <f ca="1">Sprache!$A$69</f>
        <v>Front</v>
      </c>
      <c r="Z373" s="30">
        <v>660</v>
      </c>
      <c r="AA373" s="28">
        <v>689</v>
      </c>
      <c r="AB373" s="30"/>
      <c r="AC373" s="31">
        <v>4</v>
      </c>
      <c r="AD373" s="53">
        <v>10</v>
      </c>
      <c r="AE373" s="30" t="s">
        <v>816</v>
      </c>
      <c r="AF373" s="30" t="str">
        <f ca="1">Sprache!$A$101</f>
        <v>Zestaw (prawy+lewy)</v>
      </c>
      <c r="AG373" s="30" t="s">
        <v>26</v>
      </c>
      <c r="AH373" s="30" t="str">
        <f ca="1">Sprache!$A$112</f>
        <v>Siłownik C</v>
      </c>
      <c r="AI373" s="30" t="s">
        <v>26</v>
      </c>
      <c r="AJ373" s="30" t="s">
        <v>26</v>
      </c>
      <c r="AK373" s="30">
        <v>450</v>
      </c>
      <c r="AL373" s="28">
        <v>1200</v>
      </c>
      <c r="AM373" s="30"/>
      <c r="AN373" s="28"/>
      <c r="AO373"/>
      <c r="AR373"/>
      <c r="AS373"/>
      <c r="AT373"/>
      <c r="AU373"/>
      <c r="AV373"/>
    </row>
    <row r="374" spans="1:48" x14ac:dyDescent="0.25">
      <c r="A374" t="str">
        <f t="shared" ca="1" si="11"/>
        <v/>
      </c>
      <c r="B374" t="str">
        <f t="shared" ca="1" si="10"/>
        <v/>
      </c>
      <c r="C374" s="79">
        <f>IF('Material+Limits'!$P$5=TRUE,1,0)</f>
        <v>0</v>
      </c>
      <c r="D374" s="39">
        <f>IF(Daten!$O374+Daten!$P374+Daten!$R374=3,1,0)</f>
        <v>0</v>
      </c>
      <c r="E374" s="184">
        <f ca="1">IF(AND('Material+Limits'!$Q$21=TRUE,Daten!N374=1)=TRUE,1,0)</f>
        <v>1</v>
      </c>
      <c r="F374" s="185">
        <f ca="1">IF(AND('Material+Limits'!$Q$25=TRUE,Daten!M374=1)=TRUE,1,0)</f>
        <v>0</v>
      </c>
      <c r="G374" s="185">
        <f ca="1">IF(AND('Material+Limits'!$Q$24=TRUE,Daten!L374=1)=TRUE,1,0)</f>
        <v>0</v>
      </c>
      <c r="H374" s="185">
        <f ca="1">IF(AND('Material+Limits'!$Q$23=TRUE,Daten!K374=1)=TRUE,1,0)</f>
        <v>0</v>
      </c>
      <c r="I374" s="185">
        <f ca="1">IF(AND('Material+Limits'!$Q$22=TRUE,Daten!J374=1)=TRUE,1,0)</f>
        <v>0</v>
      </c>
      <c r="J374" s="158">
        <f ca="1">IF(Daten!$U374=13,1,0)</f>
        <v>0</v>
      </c>
      <c r="K374" s="159">
        <f ca="1">IF(Daten!$U374&lt;&gt;Daten!$V374,1,IF(Daten!$U374=14,1,0))</f>
        <v>0</v>
      </c>
      <c r="L374" s="159">
        <f ca="1">IF(Daten!$U374&lt;&gt;Daten!$V374,1,IF(Daten!$U374=16,1,0))</f>
        <v>0</v>
      </c>
      <c r="M374" s="159">
        <f ca="1">IF(Daten!$V374=17,1,0)</f>
        <v>0</v>
      </c>
      <c r="N374" s="160">
        <f ca="1">IF(Daten!$W374=Sprache!$A$60,1,0)</f>
        <v>1</v>
      </c>
      <c r="O374" s="171">
        <f>IF(AND(Daten!$AK374&lt;=KINVARO!$AW$3,Daten!$AL374&gt;=KINVARO!$AW$3)=TRUE,1,0)</f>
        <v>1</v>
      </c>
      <c r="P374" s="172">
        <f>IF(AND(Daten!$Z374&lt;=KINVARO!$AW$4,Daten!$AA374&gt;=KINVARO!$AW$4)=TRUE,1,0)</f>
        <v>0</v>
      </c>
      <c r="Q374" s="172"/>
      <c r="R374" s="172">
        <f>IF(AND(Daten!$AC374&lt;='Material+Limits'!$I$58,Daten!$AD374&gt;='Material+Limits'!$I$58)=TRUE,1,0)</f>
        <v>0</v>
      </c>
      <c r="S374" s="23">
        <f ca="1">IF(Daten!$X374=Sprache!$A$125,1,0)</f>
        <v>1</v>
      </c>
      <c r="T374" s="24" t="str">
        <f ca="1">Sprache!$A$59</f>
        <v>Podnośnik S-35</v>
      </c>
      <c r="U374" s="27">
        <f ca="1">Sprache!$A$64</f>
        <v>0</v>
      </c>
      <c r="V374" s="23">
        <f ca="1">Sprache!$A$64</f>
        <v>0</v>
      </c>
      <c r="W374" s="25" t="str">
        <f ca="1">Sprache!$A$60</f>
        <v>Front lity (drewno/płyta)</v>
      </c>
      <c r="X374" s="25">
        <f ca="1">Sprache!$A$126</f>
        <v>0</v>
      </c>
      <c r="Y374" s="25" t="str">
        <f ca="1">Sprache!$A$69</f>
        <v>Front</v>
      </c>
      <c r="Z374" s="25">
        <v>660</v>
      </c>
      <c r="AA374" s="24">
        <v>689</v>
      </c>
      <c r="AB374" s="25"/>
      <c r="AC374" s="26">
        <v>7.5</v>
      </c>
      <c r="AD374" s="54">
        <v>15</v>
      </c>
      <c r="AE374" s="25" t="s">
        <v>817</v>
      </c>
      <c r="AF374" s="25" t="str">
        <f ca="1">Sprache!$A$101</f>
        <v>Zestaw (prawy+lewy)</v>
      </c>
      <c r="AG374" s="25" t="s">
        <v>26</v>
      </c>
      <c r="AH374" s="25" t="str">
        <f ca="1">Sprache!$A$113</f>
        <v>Siłownik D</v>
      </c>
      <c r="AI374" s="25" t="s">
        <v>26</v>
      </c>
      <c r="AJ374" s="25" t="s">
        <v>26</v>
      </c>
      <c r="AK374" s="25">
        <v>450</v>
      </c>
      <c r="AL374" s="24">
        <v>1200</v>
      </c>
      <c r="AM374" s="30"/>
      <c r="AN374" s="24"/>
      <c r="AO374"/>
      <c r="AR374"/>
      <c r="AS374"/>
      <c r="AT374"/>
      <c r="AU374"/>
      <c r="AV374"/>
    </row>
    <row r="375" spans="1:48" x14ac:dyDescent="0.25">
      <c r="A375" t="str">
        <f t="shared" ca="1" si="11"/>
        <v/>
      </c>
      <c r="B375" t="str">
        <f t="shared" ca="1" si="10"/>
        <v/>
      </c>
      <c r="C375" s="79">
        <f>IF('Material+Limits'!$P$5=TRUE,1,0)</f>
        <v>0</v>
      </c>
      <c r="D375" s="39">
        <f>IF(Daten!$O375+Daten!$P375+Daten!$R375=3,1,0)</f>
        <v>0</v>
      </c>
      <c r="E375" s="184">
        <f ca="1">IF(AND('Material+Limits'!$Q$21=TRUE,Daten!N375=1)=TRUE,1,0)</f>
        <v>1</v>
      </c>
      <c r="F375" s="185">
        <f ca="1">IF(AND('Material+Limits'!$Q$25=TRUE,Daten!M375=1)=TRUE,1,0)</f>
        <v>0</v>
      </c>
      <c r="G375" s="185">
        <f ca="1">IF(AND('Material+Limits'!$Q$24=TRUE,Daten!L375=1)=TRUE,1,0)</f>
        <v>0</v>
      </c>
      <c r="H375" s="185">
        <f ca="1">IF(AND('Material+Limits'!$Q$23=TRUE,Daten!K375=1)=TRUE,1,0)</f>
        <v>0</v>
      </c>
      <c r="I375" s="185">
        <f ca="1">IF(AND('Material+Limits'!$Q$22=TRUE,Daten!J375=1)=TRUE,1,0)</f>
        <v>0</v>
      </c>
      <c r="J375" s="155">
        <f ca="1">IF(Daten!$U375=13,1,0)</f>
        <v>0</v>
      </c>
      <c r="K375" s="156">
        <f ca="1">IF(Daten!$U375&lt;&gt;Daten!$V375,1,IF(Daten!$U375=14,1,0))</f>
        <v>0</v>
      </c>
      <c r="L375" s="156">
        <f ca="1">IF(Daten!$U375&lt;&gt;Daten!$V375,1,IF(Daten!$U375=16,1,0))</f>
        <v>0</v>
      </c>
      <c r="M375" s="156">
        <f ca="1">IF(Daten!$V375=17,1,0)</f>
        <v>0</v>
      </c>
      <c r="N375" s="157">
        <f ca="1">IF(Daten!$W375=Sprache!$A$60,1,0)</f>
        <v>1</v>
      </c>
      <c r="O375" s="169">
        <f>IF(AND(Daten!$AK375&lt;=KINVARO!$AW$3,Daten!$AL375&gt;=KINVARO!$AW$3)=TRUE,1,0)</f>
        <v>1</v>
      </c>
      <c r="P375" s="170">
        <f>IF(AND(Daten!$Z375&lt;=KINVARO!$AW$4,Daten!$AA375&gt;=KINVARO!$AW$4)=TRUE,1,0)</f>
        <v>0</v>
      </c>
      <c r="R375" s="170">
        <f>IF(AND(Daten!$AC375&lt;='Material+Limits'!$I$58,Daten!$AD375&gt;='Material+Limits'!$I$58)=TRUE,1,0)</f>
        <v>0</v>
      </c>
      <c r="S375" s="29">
        <f ca="1">IF(Daten!$X375=Sprache!$A$125,1,0)</f>
        <v>1</v>
      </c>
      <c r="T375" s="28" t="str">
        <f ca="1">Sprache!$A$59</f>
        <v>Podnośnik S-35</v>
      </c>
      <c r="U375" s="32">
        <f ca="1">Sprache!$A$64</f>
        <v>0</v>
      </c>
      <c r="V375" s="29">
        <f ca="1">Sprache!$A$64</f>
        <v>0</v>
      </c>
      <c r="W375" s="30" t="str">
        <f ca="1">Sprache!$A$60</f>
        <v>Front lity (drewno/płyta)</v>
      </c>
      <c r="X375" s="30">
        <f ca="1">Sprache!$A$126</f>
        <v>0</v>
      </c>
      <c r="Y375" s="30" t="str">
        <f ca="1">Sprache!$A$69</f>
        <v>Front</v>
      </c>
      <c r="Z375" s="30">
        <v>660</v>
      </c>
      <c r="AA375" s="28">
        <v>689</v>
      </c>
      <c r="AB375" s="30"/>
      <c r="AC375" s="31">
        <v>12</v>
      </c>
      <c r="AD375" s="53">
        <v>16.5</v>
      </c>
      <c r="AE375" s="30" t="s">
        <v>818</v>
      </c>
      <c r="AF375" s="30" t="str">
        <f ca="1">Sprache!$A$101</f>
        <v>Zestaw (prawy+lewy)</v>
      </c>
      <c r="AG375" s="30" t="s">
        <v>26</v>
      </c>
      <c r="AH375" s="30" t="str">
        <f ca="1">Sprache!$A$114</f>
        <v>Siłownik E</v>
      </c>
      <c r="AI375" s="30" t="s">
        <v>26</v>
      </c>
      <c r="AJ375" s="30" t="s">
        <v>26</v>
      </c>
      <c r="AK375" s="30">
        <v>450</v>
      </c>
      <c r="AL375" s="28">
        <v>1200</v>
      </c>
      <c r="AM375" s="30"/>
      <c r="AN375" s="28"/>
      <c r="AO375"/>
      <c r="AR375"/>
      <c r="AS375"/>
      <c r="AT375"/>
      <c r="AU375"/>
      <c r="AV375"/>
    </row>
    <row r="376" spans="1:48" x14ac:dyDescent="0.25">
      <c r="A376" t="str">
        <f t="shared" ca="1" si="11"/>
        <v/>
      </c>
      <c r="B376" t="str">
        <f t="shared" ca="1" si="10"/>
        <v/>
      </c>
      <c r="C376" s="79">
        <f>IF('Material+Limits'!$P$5=TRUE,1,0)</f>
        <v>0</v>
      </c>
      <c r="D376" s="39">
        <f>IF(Daten!$O376+Daten!$P376+Daten!$R376=3,1,0)</f>
        <v>0</v>
      </c>
      <c r="E376" s="184">
        <f ca="1">IF(AND('Material+Limits'!$Q$21=TRUE,Daten!N376=1)=TRUE,1,0)</f>
        <v>0</v>
      </c>
      <c r="F376" s="185">
        <f>IF(AND('Material+Limits'!$Q$25=TRUE,Daten!M376=1)=TRUE,1,0)</f>
        <v>0</v>
      </c>
      <c r="G376" s="185">
        <f>IF(AND('Material+Limits'!$Q$24=TRUE,Daten!L376=1)=TRUE,1,0)</f>
        <v>0</v>
      </c>
      <c r="H376" s="185">
        <f>IF(AND('Material+Limits'!$Q$23=TRUE,Daten!K376=1)=TRUE,1,0)</f>
        <v>0</v>
      </c>
      <c r="I376" s="185">
        <f>IF(AND('Material+Limits'!$Q$22=TRUE,Daten!J376=1)=TRUE,1,0)</f>
        <v>0</v>
      </c>
      <c r="J376" s="158">
        <f>IF(Daten!$U376=13,1,0)</f>
        <v>1</v>
      </c>
      <c r="K376" s="159">
        <f>IF(Daten!$U376&lt;&gt;Daten!$V376,1,IF(Daten!$U376=14,1,0))</f>
        <v>1</v>
      </c>
      <c r="L376" s="159">
        <f>IF(Daten!$U376&lt;&gt;Daten!$V376,1,IF(Daten!$U376=16,1,0))</f>
        <v>1</v>
      </c>
      <c r="M376" s="159">
        <f>IF(Daten!$V376=17,1,0)</f>
        <v>1</v>
      </c>
      <c r="N376" s="160">
        <f ca="1">IF(Daten!$W376=Sprache!$A$60,1,0)</f>
        <v>0</v>
      </c>
      <c r="O376" s="171">
        <f>IF(AND(Daten!$AK376&lt;=KINVARO!$AW$3,Daten!$AL376&gt;=KINVARO!$AW$3)=TRUE,1,0)</f>
        <v>1</v>
      </c>
      <c r="P376" s="172">
        <f>IF(AND(Daten!$Z376&lt;=KINVARO!$AW$4,Daten!$AA376&gt;=KINVARO!$AW$4)=TRUE,1,0)</f>
        <v>0</v>
      </c>
      <c r="Q376" s="172"/>
      <c r="R376" s="172">
        <f>IF(AND(Daten!$AC376&lt;='Material+Limits'!$I$58,Daten!$AD376&gt;='Material+Limits'!$I$58)=TRUE,1,0)</f>
        <v>0</v>
      </c>
      <c r="S376" s="23">
        <f ca="1">IF(Daten!$X376=Sprache!$A$125,1,0)</f>
        <v>1</v>
      </c>
      <c r="T376" s="24" t="str">
        <f ca="1">Sprache!$A$59</f>
        <v>Podnośnik S-35</v>
      </c>
      <c r="U376" s="27">
        <v>13</v>
      </c>
      <c r="V376" s="23">
        <v>17</v>
      </c>
      <c r="W376" s="25">
        <f ca="1">Sprache!$A$132</f>
        <v>0</v>
      </c>
      <c r="X376" s="25">
        <f ca="1">Sprache!$A$126</f>
        <v>0</v>
      </c>
      <c r="Y376" s="25" t="str">
        <f ca="1">Sprache!$A$69</f>
        <v>Front</v>
      </c>
      <c r="Z376" s="25">
        <v>660</v>
      </c>
      <c r="AA376" s="24">
        <v>689</v>
      </c>
      <c r="AB376" s="25"/>
      <c r="AC376" s="26">
        <v>2</v>
      </c>
      <c r="AD376" s="54">
        <v>5</v>
      </c>
      <c r="AE376" s="25" t="s">
        <v>814</v>
      </c>
      <c r="AF376" s="25" t="str">
        <f ca="1">Sprache!$A$101</f>
        <v>Zestaw (prawy+lewy)</v>
      </c>
      <c r="AG376" s="25" t="s">
        <v>26</v>
      </c>
      <c r="AH376" s="25" t="str">
        <f ca="1">Sprache!$A$110</f>
        <v>Siłownik A</v>
      </c>
      <c r="AI376" s="25" t="str">
        <f ca="1">Sprache!$A$137</f>
        <v>Adapter do ram aluminiowych, do Kinvaro S-35 zest.</v>
      </c>
      <c r="AJ376" s="242" t="s">
        <v>819</v>
      </c>
      <c r="AK376" s="25">
        <v>450</v>
      </c>
      <c r="AL376" s="24">
        <v>1200</v>
      </c>
      <c r="AM376" s="30"/>
      <c r="AN376" s="24"/>
      <c r="AO376"/>
      <c r="AR376"/>
      <c r="AS376"/>
      <c r="AT376"/>
      <c r="AU376"/>
      <c r="AV376"/>
    </row>
    <row r="377" spans="1:48" x14ac:dyDescent="0.25">
      <c r="A377" t="str">
        <f t="shared" ca="1" si="11"/>
        <v/>
      </c>
      <c r="B377" t="str">
        <f t="shared" ca="1" si="10"/>
        <v/>
      </c>
      <c r="C377" s="79">
        <f>IF('Material+Limits'!$P$5=TRUE,1,0)</f>
        <v>0</v>
      </c>
      <c r="D377" s="39">
        <f>IF(Daten!$O377+Daten!$P377+Daten!$R377=3,1,0)</f>
        <v>0</v>
      </c>
      <c r="E377" s="184">
        <f ca="1">IF(AND('Material+Limits'!$Q$21=TRUE,Daten!N377=1)=TRUE,1,0)</f>
        <v>0</v>
      </c>
      <c r="F377" s="185">
        <f>IF(AND('Material+Limits'!$Q$25=TRUE,Daten!M377=1)=TRUE,1,0)</f>
        <v>0</v>
      </c>
      <c r="G377" s="185">
        <f>IF(AND('Material+Limits'!$Q$24=TRUE,Daten!L377=1)=TRUE,1,0)</f>
        <v>0</v>
      </c>
      <c r="H377" s="185">
        <f>IF(AND('Material+Limits'!$Q$23=TRUE,Daten!K377=1)=TRUE,1,0)</f>
        <v>0</v>
      </c>
      <c r="I377" s="185">
        <f>IF(AND('Material+Limits'!$Q$22=TRUE,Daten!J377=1)=TRUE,1,0)</f>
        <v>0</v>
      </c>
      <c r="J377" s="155">
        <f>IF(Daten!$U377=13,1,0)</f>
        <v>1</v>
      </c>
      <c r="K377" s="156">
        <f>IF(Daten!$U377&lt;&gt;Daten!$V377,1,IF(Daten!$U377=14,1,0))</f>
        <v>1</v>
      </c>
      <c r="L377" s="156">
        <f>IF(Daten!$U377&lt;&gt;Daten!$V377,1,IF(Daten!$U377=16,1,0))</f>
        <v>1</v>
      </c>
      <c r="M377" s="156">
        <f>IF(Daten!$V377=17,1,0)</f>
        <v>1</v>
      </c>
      <c r="N377" s="157">
        <f ca="1">IF(Daten!$W377=Sprache!$A$60,1,0)</f>
        <v>0</v>
      </c>
      <c r="O377" s="169">
        <f>IF(AND(Daten!$AK377&lt;=KINVARO!$AW$3,Daten!$AL377&gt;=KINVARO!$AW$3)=TRUE,1,0)</f>
        <v>1</v>
      </c>
      <c r="P377" s="170">
        <f>IF(AND(Daten!$Z377&lt;=KINVARO!$AW$4,Daten!$AA377&gt;=KINVARO!$AW$4)=TRUE,1,0)</f>
        <v>0</v>
      </c>
      <c r="R377" s="170">
        <f>IF(AND(Daten!$AC377&lt;='Material+Limits'!$I$58,Daten!$AD377&gt;='Material+Limits'!$I$58)=TRUE,1,0)</f>
        <v>1</v>
      </c>
      <c r="S377" s="29">
        <f ca="1">IF(Daten!$X377=Sprache!$A$125,1,0)</f>
        <v>1</v>
      </c>
      <c r="T377" s="28" t="str">
        <f ca="1">Sprache!$A$59</f>
        <v>Podnośnik S-35</v>
      </c>
      <c r="U377" s="32">
        <v>13</v>
      </c>
      <c r="V377" s="29">
        <v>17</v>
      </c>
      <c r="W377" s="30">
        <f ca="1">Sprache!$A$132</f>
        <v>0</v>
      </c>
      <c r="X377" s="30">
        <f ca="1">Sprache!$A$126</f>
        <v>0</v>
      </c>
      <c r="Y377" s="30" t="str">
        <f ca="1">Sprache!$A$69</f>
        <v>Front</v>
      </c>
      <c r="Z377" s="30">
        <v>660</v>
      </c>
      <c r="AA377" s="28">
        <v>689</v>
      </c>
      <c r="AB377" s="30"/>
      <c r="AC377" s="31">
        <v>4</v>
      </c>
      <c r="AD377" s="53">
        <v>10</v>
      </c>
      <c r="AE377" s="30" t="s">
        <v>816</v>
      </c>
      <c r="AF377" s="30" t="str">
        <f ca="1">Sprache!$A$101</f>
        <v>Zestaw (prawy+lewy)</v>
      </c>
      <c r="AG377" s="30" t="s">
        <v>26</v>
      </c>
      <c r="AH377" s="30" t="str">
        <f ca="1">Sprache!$A$112</f>
        <v>Siłownik C</v>
      </c>
      <c r="AI377" s="30" t="str">
        <f ca="1">Sprache!$A$137</f>
        <v>Adapter do ram aluminiowych, do Kinvaro S-35 zest.</v>
      </c>
      <c r="AJ377" s="243" t="s">
        <v>819</v>
      </c>
      <c r="AK377" s="30">
        <v>450</v>
      </c>
      <c r="AL377" s="28">
        <v>1200</v>
      </c>
      <c r="AM377" s="30"/>
      <c r="AN377" s="28"/>
      <c r="AO377"/>
      <c r="AR377"/>
      <c r="AS377"/>
      <c r="AT377"/>
      <c r="AU377"/>
      <c r="AV377"/>
    </row>
    <row r="378" spans="1:48" x14ac:dyDescent="0.25">
      <c r="A378" t="str">
        <f t="shared" ca="1" si="11"/>
        <v/>
      </c>
      <c r="B378" t="str">
        <f t="shared" ca="1" si="10"/>
        <v/>
      </c>
      <c r="C378" s="79">
        <f>IF('Material+Limits'!$P$5=TRUE,1,0)</f>
        <v>0</v>
      </c>
      <c r="D378" s="39">
        <f>IF(Daten!$O378+Daten!$P378+Daten!$R378=3,1,0)</f>
        <v>0</v>
      </c>
      <c r="E378" s="184">
        <f ca="1">IF(AND('Material+Limits'!$Q$21=TRUE,Daten!N378=1)=TRUE,1,0)</f>
        <v>0</v>
      </c>
      <c r="F378" s="185">
        <f>IF(AND('Material+Limits'!$Q$25=TRUE,Daten!M378=1)=TRUE,1,0)</f>
        <v>0</v>
      </c>
      <c r="G378" s="185">
        <f>IF(AND('Material+Limits'!$Q$24=TRUE,Daten!L378=1)=TRUE,1,0)</f>
        <v>0</v>
      </c>
      <c r="H378" s="185">
        <f>IF(AND('Material+Limits'!$Q$23=TRUE,Daten!K378=1)=TRUE,1,0)</f>
        <v>0</v>
      </c>
      <c r="I378" s="185">
        <f>IF(AND('Material+Limits'!$Q$22=TRUE,Daten!J378=1)=TRUE,1,0)</f>
        <v>0</v>
      </c>
      <c r="J378" s="158">
        <f>IF(Daten!$U378=13,1,0)</f>
        <v>1</v>
      </c>
      <c r="K378" s="159">
        <f>IF(Daten!$U378&lt;&gt;Daten!$V378,1,IF(Daten!$U378=14,1,0))</f>
        <v>1</v>
      </c>
      <c r="L378" s="159">
        <f>IF(Daten!$U378&lt;&gt;Daten!$V378,1,IF(Daten!$U378=16,1,0))</f>
        <v>1</v>
      </c>
      <c r="M378" s="159">
        <f>IF(Daten!$V378=17,1,0)</f>
        <v>1</v>
      </c>
      <c r="N378" s="160">
        <f ca="1">IF(Daten!$W378=Sprache!$A$60,1,0)</f>
        <v>0</v>
      </c>
      <c r="O378" s="171">
        <f>IF(AND(Daten!$AK378&lt;=KINVARO!$AW$3,Daten!$AL378&gt;=KINVARO!$AW$3)=TRUE,1,0)</f>
        <v>1</v>
      </c>
      <c r="P378" s="172">
        <f>IF(AND(Daten!$Z378&lt;=KINVARO!$AW$4,Daten!$AA378&gt;=KINVARO!$AW$4)=TRUE,1,0)</f>
        <v>0</v>
      </c>
      <c r="Q378" s="172"/>
      <c r="R378" s="172">
        <f>IF(AND(Daten!$AC378&lt;='Material+Limits'!$I$58,Daten!$AD378&gt;='Material+Limits'!$I$58)=TRUE,1,0)</f>
        <v>0</v>
      </c>
      <c r="S378" s="23">
        <f ca="1">IF(Daten!$X378=Sprache!$A$125,1,0)</f>
        <v>1</v>
      </c>
      <c r="T378" s="24" t="str">
        <f ca="1">Sprache!$A$59</f>
        <v>Podnośnik S-35</v>
      </c>
      <c r="U378" s="27">
        <v>13</v>
      </c>
      <c r="V378" s="23">
        <v>17</v>
      </c>
      <c r="W378" s="25">
        <f ca="1">Sprache!$A$132</f>
        <v>0</v>
      </c>
      <c r="X378" s="25">
        <f ca="1">Sprache!$A$126</f>
        <v>0</v>
      </c>
      <c r="Y378" s="25" t="str">
        <f ca="1">Sprache!$A$69</f>
        <v>Front</v>
      </c>
      <c r="Z378" s="25">
        <v>660</v>
      </c>
      <c r="AA378" s="24">
        <v>689</v>
      </c>
      <c r="AB378" s="25"/>
      <c r="AC378" s="26">
        <v>7.5</v>
      </c>
      <c r="AD378" s="54">
        <v>15</v>
      </c>
      <c r="AE378" s="25" t="s">
        <v>817</v>
      </c>
      <c r="AF378" s="25" t="str">
        <f ca="1">Sprache!$A$101</f>
        <v>Zestaw (prawy+lewy)</v>
      </c>
      <c r="AG378" s="25" t="s">
        <v>26</v>
      </c>
      <c r="AH378" s="25" t="str">
        <f ca="1">Sprache!$A$113</f>
        <v>Siłownik D</v>
      </c>
      <c r="AI378" s="25" t="str">
        <f ca="1">Sprache!$A$137</f>
        <v>Adapter do ram aluminiowych, do Kinvaro S-35 zest.</v>
      </c>
      <c r="AJ378" s="242" t="s">
        <v>819</v>
      </c>
      <c r="AK378" s="25">
        <v>450</v>
      </c>
      <c r="AL378" s="24">
        <v>1200</v>
      </c>
      <c r="AM378" s="30"/>
      <c r="AN378" s="24"/>
      <c r="AO378"/>
      <c r="AR378"/>
      <c r="AS378"/>
      <c r="AT378"/>
      <c r="AU378"/>
      <c r="AV378"/>
    </row>
    <row r="379" spans="1:48" s="5" customFormat="1" x14ac:dyDescent="0.25">
      <c r="A379" t="str">
        <f t="shared" ca="1" si="11"/>
        <v/>
      </c>
      <c r="B379" t="str">
        <f t="shared" ca="1" si="10"/>
        <v/>
      </c>
      <c r="C379" s="79">
        <f>IF('Material+Limits'!$P$5=TRUE,1,0)</f>
        <v>0</v>
      </c>
      <c r="D379" s="39">
        <f>IF(Daten!$O379+Daten!$P379+Daten!$R379=3,1,0)</f>
        <v>0</v>
      </c>
      <c r="E379" s="184">
        <f ca="1">IF(AND('Material+Limits'!$Q$21=TRUE,Daten!N379=1)=TRUE,1,0)</f>
        <v>0</v>
      </c>
      <c r="F379" s="185">
        <f>IF(AND('Material+Limits'!$Q$25=TRUE,Daten!M379=1)=TRUE,1,0)</f>
        <v>0</v>
      </c>
      <c r="G379" s="185">
        <f>IF(AND('Material+Limits'!$Q$24=TRUE,Daten!L379=1)=TRUE,1,0)</f>
        <v>0</v>
      </c>
      <c r="H379" s="185">
        <f>IF(AND('Material+Limits'!$Q$23=TRUE,Daten!K379=1)=TRUE,1,0)</f>
        <v>0</v>
      </c>
      <c r="I379" s="185">
        <f>IF(AND('Material+Limits'!$Q$22=TRUE,Daten!J379=1)=TRUE,1,0)</f>
        <v>0</v>
      </c>
      <c r="J379" s="155">
        <f>IF(Daten!$U379=13,1,0)</f>
        <v>1</v>
      </c>
      <c r="K379" s="156">
        <f>IF(Daten!$U379&lt;&gt;Daten!$V379,1,IF(Daten!$U379=14,1,0))</f>
        <v>1</v>
      </c>
      <c r="L379" s="156">
        <f>IF(Daten!$U379&lt;&gt;Daten!$V379,1,IF(Daten!$U379=16,1,0))</f>
        <v>1</v>
      </c>
      <c r="M379" s="156">
        <f>IF(Daten!$V379=17,1,0)</f>
        <v>1</v>
      </c>
      <c r="N379" s="157">
        <f ca="1">IF(Daten!$W379=Sprache!$A$60,1,0)</f>
        <v>0</v>
      </c>
      <c r="O379" s="169">
        <f>IF(AND(Daten!$AK379&lt;=KINVARO!$AW$3,Daten!$AL379&gt;=KINVARO!$AW$3)=TRUE,1,0)</f>
        <v>1</v>
      </c>
      <c r="P379" s="170">
        <f>IF(AND(Daten!$Z379&lt;=KINVARO!$AW$4,Daten!$AA379&gt;=KINVARO!$AW$4)=TRUE,1,0)</f>
        <v>0</v>
      </c>
      <c r="Q379" s="170"/>
      <c r="R379" s="170">
        <f>IF(AND(Daten!$AC379&lt;='Material+Limits'!$I$58,Daten!$AD379&gt;='Material+Limits'!$I$58)=TRUE,1,0)</f>
        <v>0</v>
      </c>
      <c r="S379" s="29">
        <f ca="1">IF(Daten!$X379=Sprache!$A$125,1,0)</f>
        <v>1</v>
      </c>
      <c r="T379" s="28" t="str">
        <f ca="1">Sprache!$A$59</f>
        <v>Podnośnik S-35</v>
      </c>
      <c r="U379" s="32">
        <v>13</v>
      </c>
      <c r="V379" s="29">
        <v>17</v>
      </c>
      <c r="W379" s="30">
        <f ca="1">Sprache!$A$132</f>
        <v>0</v>
      </c>
      <c r="X379" s="30">
        <f ca="1">Sprache!$A$126</f>
        <v>0</v>
      </c>
      <c r="Y379" s="30" t="str">
        <f ca="1">Sprache!$A$69</f>
        <v>Front</v>
      </c>
      <c r="Z379" s="30">
        <v>660</v>
      </c>
      <c r="AA379" s="28">
        <v>689</v>
      </c>
      <c r="AB379" s="30"/>
      <c r="AC379" s="31">
        <v>12</v>
      </c>
      <c r="AD379" s="53">
        <v>16.5</v>
      </c>
      <c r="AE379" s="30" t="s">
        <v>818</v>
      </c>
      <c r="AF379" s="30" t="str">
        <f ca="1">Sprache!$A$101</f>
        <v>Zestaw (prawy+lewy)</v>
      </c>
      <c r="AG379" s="30" t="s">
        <v>26</v>
      </c>
      <c r="AH379" s="30" t="str">
        <f ca="1">Sprache!$A$114</f>
        <v>Siłownik E</v>
      </c>
      <c r="AI379" s="30" t="str">
        <f ca="1">Sprache!$A$137</f>
        <v>Adapter do ram aluminiowych, do Kinvaro S-35 zest.</v>
      </c>
      <c r="AJ379" s="243" t="s">
        <v>819</v>
      </c>
      <c r="AK379" s="30">
        <v>450</v>
      </c>
      <c r="AL379" s="28">
        <v>1200</v>
      </c>
      <c r="AM379" s="30"/>
      <c r="AN379" s="28"/>
    </row>
    <row r="380" spans="1:48" x14ac:dyDescent="0.25">
      <c r="A380" t="str">
        <f t="shared" ca="1" si="11"/>
        <v/>
      </c>
      <c r="B380" t="str">
        <f t="shared" ca="1" si="10"/>
        <v/>
      </c>
      <c r="C380" s="79">
        <f>IF('Material+Limits'!$P$5=TRUE,1,0)</f>
        <v>0</v>
      </c>
      <c r="D380" s="39">
        <f>IF(Daten!$O380+Daten!$P380+Daten!$R380=3,1,0)</f>
        <v>0</v>
      </c>
      <c r="E380" s="184">
        <f ca="1">IF(AND('Material+Limits'!$Q$21=TRUE,Daten!N380=1)=TRUE,1,0)</f>
        <v>1</v>
      </c>
      <c r="F380" s="185">
        <f ca="1">IF(AND('Material+Limits'!$Q$25=TRUE,Daten!M380=1)=TRUE,1,0)</f>
        <v>0</v>
      </c>
      <c r="G380" s="185">
        <f ca="1">IF(AND('Material+Limits'!$Q$24=TRUE,Daten!L380=1)=TRUE,1,0)</f>
        <v>0</v>
      </c>
      <c r="H380" s="185">
        <f ca="1">IF(AND('Material+Limits'!$Q$23=TRUE,Daten!K380=1)=TRUE,1,0)</f>
        <v>0</v>
      </c>
      <c r="I380" s="185">
        <f ca="1">IF(AND('Material+Limits'!$Q$22=TRUE,Daten!J380=1)=TRUE,1,0)</f>
        <v>0</v>
      </c>
      <c r="J380" s="158">
        <f ca="1">IF(Daten!$U380=13,1,0)</f>
        <v>0</v>
      </c>
      <c r="K380" s="159">
        <f ca="1">IF(Daten!$U380&lt;&gt;Daten!$V380,1,IF(Daten!$U380=14,1,0))</f>
        <v>0</v>
      </c>
      <c r="L380" s="159">
        <f ca="1">IF(Daten!$U380&lt;&gt;Daten!$V380,1,IF(Daten!$U380=16,1,0))</f>
        <v>0</v>
      </c>
      <c r="M380" s="159">
        <f ca="1">IF(Daten!$V380=17,1,0)</f>
        <v>0</v>
      </c>
      <c r="N380" s="160">
        <f ca="1">IF(Daten!$W380=Sprache!$A$60,1,0)</f>
        <v>1</v>
      </c>
      <c r="O380" s="173">
        <f>IF(AND(Daten!$AK380&lt;=KINVARO!$AW$3,Daten!$AL380&gt;=KINVARO!$AW$3)=TRUE,1,0)</f>
        <v>1</v>
      </c>
      <c r="P380" s="174">
        <f>IF(AND(Daten!$Z380&lt;=KINVARO!$AW$4,Daten!$AA380&gt;=KINVARO!$AW$4)=TRUE,1,0)</f>
        <v>0</v>
      </c>
      <c r="Q380" s="174"/>
      <c r="R380" s="174">
        <f>IF(AND(Daten!$AC380&lt;='Material+Limits'!$I$58,Daten!$AD380&gt;='Material+Limits'!$I$58)=TRUE,1,0)</f>
        <v>0</v>
      </c>
      <c r="S380" s="38">
        <f ca="1">IF(Daten!$X380=Sprache!$A$125,1,0)</f>
        <v>1</v>
      </c>
      <c r="T380" s="57" t="str">
        <f ca="1">Sprache!$A$59</f>
        <v>Podnośnik S-35</v>
      </c>
      <c r="U380" s="55">
        <f ca="1">Sprache!$A$64</f>
        <v>0</v>
      </c>
      <c r="V380" s="38">
        <f ca="1">Sprache!$A$64</f>
        <v>0</v>
      </c>
      <c r="W380" s="56" t="str">
        <f ca="1">Sprache!$A$60</f>
        <v>Front lity (drewno/płyta)</v>
      </c>
      <c r="X380" s="25">
        <f ca="1">Sprache!$A$126</f>
        <v>0</v>
      </c>
      <c r="Y380" s="56" t="str">
        <f ca="1">Sprache!$A$69</f>
        <v>Front</v>
      </c>
      <c r="Z380" s="56">
        <v>690</v>
      </c>
      <c r="AA380" s="57">
        <v>719</v>
      </c>
      <c r="AB380" s="56"/>
      <c r="AC380" s="58">
        <v>2</v>
      </c>
      <c r="AD380" s="59">
        <v>5</v>
      </c>
      <c r="AE380" s="56" t="s">
        <v>814</v>
      </c>
      <c r="AF380" s="56" t="str">
        <f ca="1">Sprache!$A$101</f>
        <v>Zestaw (prawy+lewy)</v>
      </c>
      <c r="AG380" s="56" t="s">
        <v>26</v>
      </c>
      <c r="AH380" s="56" t="str">
        <f ca="1">Sprache!$A$110</f>
        <v>Siłownik A</v>
      </c>
      <c r="AI380" s="56" t="s">
        <v>26</v>
      </c>
      <c r="AJ380" s="56" t="s">
        <v>26</v>
      </c>
      <c r="AK380" s="56">
        <v>450</v>
      </c>
      <c r="AL380" s="57">
        <v>1200</v>
      </c>
      <c r="AM380" s="30"/>
      <c r="AN380" s="24"/>
      <c r="AO380"/>
      <c r="AR380"/>
      <c r="AS380"/>
      <c r="AT380"/>
      <c r="AU380"/>
      <c r="AV380"/>
    </row>
    <row r="381" spans="1:48" x14ac:dyDescent="0.25">
      <c r="A381" t="str">
        <f t="shared" ca="1" si="11"/>
        <v/>
      </c>
      <c r="B381" t="str">
        <f t="shared" ca="1" si="10"/>
        <v/>
      </c>
      <c r="C381" s="79">
        <f>IF('Material+Limits'!$P$5=TRUE,1,0)</f>
        <v>0</v>
      </c>
      <c r="D381" s="39">
        <f>IF(Daten!$O381+Daten!$P381+Daten!$R381=3,1,0)</f>
        <v>0</v>
      </c>
      <c r="E381" s="184">
        <f ca="1">IF(AND('Material+Limits'!$Q$21=TRUE,Daten!N381=1)=TRUE,1,0)</f>
        <v>1</v>
      </c>
      <c r="F381" s="185">
        <f ca="1">IF(AND('Material+Limits'!$Q$25=TRUE,Daten!M381=1)=TRUE,1,0)</f>
        <v>0</v>
      </c>
      <c r="G381" s="185">
        <f ca="1">IF(AND('Material+Limits'!$Q$24=TRUE,Daten!L381=1)=TRUE,1,0)</f>
        <v>0</v>
      </c>
      <c r="H381" s="185">
        <f ca="1">IF(AND('Material+Limits'!$Q$23=TRUE,Daten!K381=1)=TRUE,1,0)</f>
        <v>0</v>
      </c>
      <c r="I381" s="185">
        <f ca="1">IF(AND('Material+Limits'!$Q$22=TRUE,Daten!J381=1)=TRUE,1,0)</f>
        <v>0</v>
      </c>
      <c r="J381" s="155">
        <f ca="1">IF(Daten!$U381=13,1,0)</f>
        <v>0</v>
      </c>
      <c r="K381" s="156">
        <f ca="1">IF(Daten!$U381&lt;&gt;Daten!$V381,1,IF(Daten!$U381=14,1,0))</f>
        <v>0</v>
      </c>
      <c r="L381" s="156">
        <f ca="1">IF(Daten!$U381&lt;&gt;Daten!$V381,1,IF(Daten!$U381=16,1,0))</f>
        <v>0</v>
      </c>
      <c r="M381" s="156">
        <f ca="1">IF(Daten!$V381=17,1,0)</f>
        <v>0</v>
      </c>
      <c r="N381" s="157">
        <f ca="1">IF(Daten!$W381=Sprache!$A$60,1,0)</f>
        <v>1</v>
      </c>
      <c r="O381" s="169">
        <f>IF(AND(Daten!$AK381&lt;=KINVARO!$AW$3,Daten!$AL381&gt;=KINVARO!$AW$3)=TRUE,1,0)</f>
        <v>1</v>
      </c>
      <c r="P381" s="170">
        <f>IF(AND(Daten!$Z381&lt;=KINVARO!$AW$4,Daten!$AA381&gt;=KINVARO!$AW$4)=TRUE,1,0)</f>
        <v>0</v>
      </c>
      <c r="R381" s="170">
        <f>IF(AND(Daten!$AC381&lt;='Material+Limits'!$I$58,Daten!$AD381&gt;='Material+Limits'!$I$58)=TRUE,1,0)</f>
        <v>1</v>
      </c>
      <c r="S381" s="29">
        <f ca="1">IF(Daten!$X381=Sprache!$A$125,1,0)</f>
        <v>1</v>
      </c>
      <c r="T381" s="28" t="str">
        <f ca="1">Sprache!$A$59</f>
        <v>Podnośnik S-35</v>
      </c>
      <c r="U381" s="32">
        <f ca="1">Sprache!$A$64</f>
        <v>0</v>
      </c>
      <c r="V381" s="29">
        <f ca="1">Sprache!$A$64</f>
        <v>0</v>
      </c>
      <c r="W381" s="30" t="str">
        <f ca="1">Sprache!$A$60</f>
        <v>Front lity (drewno/płyta)</v>
      </c>
      <c r="X381" s="30">
        <f ca="1">Sprache!$A$126</f>
        <v>0</v>
      </c>
      <c r="Y381" s="30" t="str">
        <f ca="1">Sprache!$A$69</f>
        <v>Front</v>
      </c>
      <c r="Z381" s="30">
        <v>690</v>
      </c>
      <c r="AA381" s="28">
        <v>719</v>
      </c>
      <c r="AB381" s="30"/>
      <c r="AC381" s="31">
        <v>4</v>
      </c>
      <c r="AD381" s="53">
        <v>8.5</v>
      </c>
      <c r="AE381" s="30" t="s">
        <v>816</v>
      </c>
      <c r="AF381" s="30" t="str">
        <f ca="1">Sprache!$A$101</f>
        <v>Zestaw (prawy+lewy)</v>
      </c>
      <c r="AG381" s="30" t="s">
        <v>26</v>
      </c>
      <c r="AH381" s="30" t="str">
        <f ca="1">Sprache!$A$112</f>
        <v>Siłownik C</v>
      </c>
      <c r="AI381" s="30" t="s">
        <v>26</v>
      </c>
      <c r="AJ381" s="30" t="s">
        <v>26</v>
      </c>
      <c r="AK381" s="30">
        <v>450</v>
      </c>
      <c r="AL381" s="28">
        <v>1200</v>
      </c>
      <c r="AM381" s="30"/>
      <c r="AN381" s="28"/>
      <c r="AO381"/>
      <c r="AR381"/>
      <c r="AS381"/>
      <c r="AT381"/>
      <c r="AU381"/>
      <c r="AV381"/>
    </row>
    <row r="382" spans="1:48" x14ac:dyDescent="0.25">
      <c r="A382" t="str">
        <f t="shared" ca="1" si="11"/>
        <v/>
      </c>
      <c r="B382" t="str">
        <f t="shared" ca="1" si="10"/>
        <v/>
      </c>
      <c r="C382" s="79">
        <f>IF('Material+Limits'!$P$5=TRUE,1,0)</f>
        <v>0</v>
      </c>
      <c r="D382" s="39">
        <f>IF(Daten!$O382+Daten!$P382+Daten!$R382=3,1,0)</f>
        <v>0</v>
      </c>
      <c r="E382" s="184">
        <f ca="1">IF(AND('Material+Limits'!$Q$21=TRUE,Daten!N382=1)=TRUE,1,0)</f>
        <v>1</v>
      </c>
      <c r="F382" s="185">
        <f ca="1">IF(AND('Material+Limits'!$Q$25=TRUE,Daten!M382=1)=TRUE,1,0)</f>
        <v>0</v>
      </c>
      <c r="G382" s="185">
        <f ca="1">IF(AND('Material+Limits'!$Q$24=TRUE,Daten!L382=1)=TRUE,1,0)</f>
        <v>0</v>
      </c>
      <c r="H382" s="185">
        <f ca="1">IF(AND('Material+Limits'!$Q$23=TRUE,Daten!K382=1)=TRUE,1,0)</f>
        <v>0</v>
      </c>
      <c r="I382" s="185">
        <f ca="1">IF(AND('Material+Limits'!$Q$22=TRUE,Daten!J382=1)=TRUE,1,0)</f>
        <v>0</v>
      </c>
      <c r="J382" s="158">
        <f ca="1">IF(Daten!$U382=13,1,0)</f>
        <v>0</v>
      </c>
      <c r="K382" s="159">
        <f ca="1">IF(Daten!$U382&lt;&gt;Daten!$V382,1,IF(Daten!$U382=14,1,0))</f>
        <v>0</v>
      </c>
      <c r="L382" s="159">
        <f ca="1">IF(Daten!$U382&lt;&gt;Daten!$V382,1,IF(Daten!$U382=16,1,0))</f>
        <v>0</v>
      </c>
      <c r="M382" s="159">
        <f ca="1">IF(Daten!$V382=17,1,0)</f>
        <v>0</v>
      </c>
      <c r="N382" s="160">
        <f ca="1">IF(Daten!$W382=Sprache!$A$60,1,0)</f>
        <v>1</v>
      </c>
      <c r="O382" s="171">
        <f>IF(AND(Daten!$AK382&lt;=KINVARO!$AW$3,Daten!$AL382&gt;=KINVARO!$AW$3)=TRUE,1,0)</f>
        <v>1</v>
      </c>
      <c r="P382" s="172">
        <f>IF(AND(Daten!$Z382&lt;=KINVARO!$AW$4,Daten!$AA382&gt;=KINVARO!$AW$4)=TRUE,1,0)</f>
        <v>0</v>
      </c>
      <c r="Q382" s="172"/>
      <c r="R382" s="172">
        <f>IF(AND(Daten!$AC382&lt;='Material+Limits'!$I$58,Daten!$AD382&gt;='Material+Limits'!$I$58)=TRUE,1,0)</f>
        <v>0</v>
      </c>
      <c r="S382" s="23">
        <f ca="1">IF(Daten!$X382=Sprache!$A$125,1,0)</f>
        <v>1</v>
      </c>
      <c r="T382" s="24" t="str">
        <f ca="1">Sprache!$A$59</f>
        <v>Podnośnik S-35</v>
      </c>
      <c r="U382" s="27">
        <f ca="1">Sprache!$A$64</f>
        <v>0</v>
      </c>
      <c r="V382" s="23">
        <f ca="1">Sprache!$A$64</f>
        <v>0</v>
      </c>
      <c r="W382" s="25" t="str">
        <f ca="1">Sprache!$A$60</f>
        <v>Front lity (drewno/płyta)</v>
      </c>
      <c r="X382" s="25">
        <f ca="1">Sprache!$A$126</f>
        <v>0</v>
      </c>
      <c r="Y382" s="25" t="str">
        <f ca="1">Sprache!$A$69</f>
        <v>Front</v>
      </c>
      <c r="Z382" s="25">
        <v>690</v>
      </c>
      <c r="AA382" s="24">
        <v>719</v>
      </c>
      <c r="AB382" s="25"/>
      <c r="AC382" s="26">
        <v>6.5</v>
      </c>
      <c r="AD382" s="54">
        <v>13.5</v>
      </c>
      <c r="AE382" s="25" t="s">
        <v>817</v>
      </c>
      <c r="AF382" s="25" t="str">
        <f ca="1">Sprache!$A$101</f>
        <v>Zestaw (prawy+lewy)</v>
      </c>
      <c r="AG382" s="25" t="s">
        <v>26</v>
      </c>
      <c r="AH382" s="25" t="str">
        <f ca="1">Sprache!$A$113</f>
        <v>Siłownik D</v>
      </c>
      <c r="AI382" s="25" t="s">
        <v>26</v>
      </c>
      <c r="AJ382" s="25" t="s">
        <v>26</v>
      </c>
      <c r="AK382" s="25">
        <v>450</v>
      </c>
      <c r="AL382" s="24">
        <v>1200</v>
      </c>
      <c r="AM382" s="30"/>
      <c r="AN382" s="24"/>
      <c r="AO382"/>
      <c r="AR382"/>
      <c r="AS382"/>
      <c r="AT382"/>
      <c r="AU382"/>
      <c r="AV382"/>
    </row>
    <row r="383" spans="1:48" x14ac:dyDescent="0.25">
      <c r="A383" t="str">
        <f t="shared" ca="1" si="11"/>
        <v/>
      </c>
      <c r="B383" t="str">
        <f t="shared" ca="1" si="10"/>
        <v/>
      </c>
      <c r="C383" s="79">
        <f>IF('Material+Limits'!$P$5=TRUE,1,0)</f>
        <v>0</v>
      </c>
      <c r="D383" s="39">
        <f>IF(Daten!$O383+Daten!$P383+Daten!$R383=3,1,0)</f>
        <v>0</v>
      </c>
      <c r="E383" s="184">
        <f ca="1">IF(AND('Material+Limits'!$Q$21=TRUE,Daten!N383=1)=TRUE,1,0)</f>
        <v>1</v>
      </c>
      <c r="F383" s="185">
        <f ca="1">IF(AND('Material+Limits'!$Q$25=TRUE,Daten!M383=1)=TRUE,1,0)</f>
        <v>0</v>
      </c>
      <c r="G383" s="185">
        <f ca="1">IF(AND('Material+Limits'!$Q$24=TRUE,Daten!L383=1)=TRUE,1,0)</f>
        <v>0</v>
      </c>
      <c r="H383" s="185">
        <f ca="1">IF(AND('Material+Limits'!$Q$23=TRUE,Daten!K383=1)=TRUE,1,0)</f>
        <v>0</v>
      </c>
      <c r="I383" s="185">
        <f ca="1">IF(AND('Material+Limits'!$Q$22=TRUE,Daten!J383=1)=TRUE,1,0)</f>
        <v>0</v>
      </c>
      <c r="J383" s="155">
        <f ca="1">IF(Daten!$U383=13,1,0)</f>
        <v>0</v>
      </c>
      <c r="K383" s="156">
        <f ca="1">IF(Daten!$U383&lt;&gt;Daten!$V383,1,IF(Daten!$U383=14,1,0))</f>
        <v>0</v>
      </c>
      <c r="L383" s="156">
        <f ca="1">IF(Daten!$U383&lt;&gt;Daten!$V383,1,IF(Daten!$U383=16,1,0))</f>
        <v>0</v>
      </c>
      <c r="M383" s="156">
        <f ca="1">IF(Daten!$V383=17,1,0)</f>
        <v>0</v>
      </c>
      <c r="N383" s="157">
        <f ca="1">IF(Daten!$W383=Sprache!$A$60,1,0)</f>
        <v>1</v>
      </c>
      <c r="O383" s="169">
        <f>IF(AND(Daten!$AK383&lt;=KINVARO!$AW$3,Daten!$AL383&gt;=KINVARO!$AW$3)=TRUE,1,0)</f>
        <v>1</v>
      </c>
      <c r="P383" s="170">
        <f>IF(AND(Daten!$Z383&lt;=KINVARO!$AW$4,Daten!$AA383&gt;=KINVARO!$AW$4)=TRUE,1,0)</f>
        <v>0</v>
      </c>
      <c r="R383" s="170">
        <f>IF(AND(Daten!$AC383&lt;='Material+Limits'!$I$58,Daten!$AD383&gt;='Material+Limits'!$I$58)=TRUE,1,0)</f>
        <v>0</v>
      </c>
      <c r="S383" s="29">
        <f ca="1">IF(Daten!$X383=Sprache!$A$125,1,0)</f>
        <v>1</v>
      </c>
      <c r="T383" s="28" t="str">
        <f ca="1">Sprache!$A$59</f>
        <v>Podnośnik S-35</v>
      </c>
      <c r="U383" s="32">
        <f ca="1">Sprache!$A$64</f>
        <v>0</v>
      </c>
      <c r="V383" s="29">
        <f ca="1">Sprache!$A$64</f>
        <v>0</v>
      </c>
      <c r="W383" s="30" t="str">
        <f ca="1">Sprache!$A$60</f>
        <v>Front lity (drewno/płyta)</v>
      </c>
      <c r="X383" s="30">
        <f ca="1">Sprache!$A$126</f>
        <v>0</v>
      </c>
      <c r="Y383" s="30" t="str">
        <f ca="1">Sprache!$A$69</f>
        <v>Front</v>
      </c>
      <c r="Z383" s="30">
        <v>690</v>
      </c>
      <c r="AA383" s="28">
        <v>719</v>
      </c>
      <c r="AB383" s="30"/>
      <c r="AC383" s="31">
        <v>12</v>
      </c>
      <c r="AD383" s="53">
        <v>17.5</v>
      </c>
      <c r="AE383" s="30" t="s">
        <v>818</v>
      </c>
      <c r="AF383" s="30" t="str">
        <f ca="1">Sprache!$A$101</f>
        <v>Zestaw (prawy+lewy)</v>
      </c>
      <c r="AG383" s="30" t="s">
        <v>26</v>
      </c>
      <c r="AH383" s="30" t="str">
        <f ca="1">Sprache!$A$114</f>
        <v>Siłownik E</v>
      </c>
      <c r="AI383" s="30" t="s">
        <v>26</v>
      </c>
      <c r="AJ383" s="30" t="s">
        <v>26</v>
      </c>
      <c r="AK383" s="30">
        <v>450</v>
      </c>
      <c r="AL383" s="28">
        <v>1200</v>
      </c>
      <c r="AM383" s="30"/>
      <c r="AN383" s="28"/>
      <c r="AO383"/>
      <c r="AR383"/>
      <c r="AS383"/>
      <c r="AT383"/>
      <c r="AU383"/>
      <c r="AV383"/>
    </row>
    <row r="384" spans="1:48" x14ac:dyDescent="0.25">
      <c r="A384" t="str">
        <f t="shared" ca="1" si="11"/>
        <v/>
      </c>
      <c r="B384" t="str">
        <f t="shared" ca="1" si="10"/>
        <v/>
      </c>
      <c r="C384" s="79">
        <f>IF('Material+Limits'!$P$5=TRUE,1,0)</f>
        <v>0</v>
      </c>
      <c r="D384" s="39">
        <f>IF(Daten!$O384+Daten!$P384+Daten!$R384=3,1,0)</f>
        <v>0</v>
      </c>
      <c r="E384" s="184">
        <f ca="1">IF(AND('Material+Limits'!$Q$21=TRUE,Daten!N384=1)=TRUE,1,0)</f>
        <v>0</v>
      </c>
      <c r="F384" s="185">
        <f>IF(AND('Material+Limits'!$Q$25=TRUE,Daten!M384=1)=TRUE,1,0)</f>
        <v>0</v>
      </c>
      <c r="G384" s="185">
        <f>IF(AND('Material+Limits'!$Q$24=TRUE,Daten!L384=1)=TRUE,1,0)</f>
        <v>0</v>
      </c>
      <c r="H384" s="185">
        <f>IF(AND('Material+Limits'!$Q$23=TRUE,Daten!K384=1)=TRUE,1,0)</f>
        <v>0</v>
      </c>
      <c r="I384" s="185">
        <f>IF(AND('Material+Limits'!$Q$22=TRUE,Daten!J384=1)=TRUE,1,0)</f>
        <v>0</v>
      </c>
      <c r="J384" s="158">
        <f>IF(Daten!$U384=13,1,0)</f>
        <v>1</v>
      </c>
      <c r="K384" s="159">
        <f>IF(Daten!$U384&lt;&gt;Daten!$V384,1,IF(Daten!$U384=14,1,0))</f>
        <v>1</v>
      </c>
      <c r="L384" s="159">
        <f>IF(Daten!$U384&lt;&gt;Daten!$V384,1,IF(Daten!$U384=16,1,0))</f>
        <v>1</v>
      </c>
      <c r="M384" s="159">
        <f>IF(Daten!$V384=17,1,0)</f>
        <v>1</v>
      </c>
      <c r="N384" s="160">
        <f ca="1">IF(Daten!$W384=Sprache!$A$60,1,0)</f>
        <v>0</v>
      </c>
      <c r="O384" s="171">
        <f>IF(AND(Daten!$AK384&lt;=KINVARO!$AW$3,Daten!$AL384&gt;=KINVARO!$AW$3)=TRUE,1,0)</f>
        <v>1</v>
      </c>
      <c r="P384" s="172">
        <f>IF(AND(Daten!$Z384&lt;=KINVARO!$AW$4,Daten!$AA384&gt;=KINVARO!$AW$4)=TRUE,1,0)</f>
        <v>0</v>
      </c>
      <c r="Q384" s="172"/>
      <c r="R384" s="172">
        <f>IF(AND(Daten!$AC384&lt;='Material+Limits'!$I$58,Daten!$AD384&gt;='Material+Limits'!$I$58)=TRUE,1,0)</f>
        <v>0</v>
      </c>
      <c r="S384" s="23">
        <f ca="1">IF(Daten!$X384=Sprache!$A$125,1,0)</f>
        <v>1</v>
      </c>
      <c r="T384" s="24" t="str">
        <f ca="1">Sprache!$A$59</f>
        <v>Podnośnik S-35</v>
      </c>
      <c r="U384" s="27">
        <v>13</v>
      </c>
      <c r="V384" s="23">
        <v>17</v>
      </c>
      <c r="W384" s="25">
        <f ca="1">Sprache!$A$132</f>
        <v>0</v>
      </c>
      <c r="X384" s="25">
        <f ca="1">Sprache!$A$126</f>
        <v>0</v>
      </c>
      <c r="Y384" s="25" t="str">
        <f ca="1">Sprache!$A$69</f>
        <v>Front</v>
      </c>
      <c r="Z384" s="25">
        <v>690</v>
      </c>
      <c r="AA384" s="24">
        <v>719</v>
      </c>
      <c r="AB384" s="25"/>
      <c r="AC384" s="26">
        <v>2</v>
      </c>
      <c r="AD384" s="54">
        <v>5</v>
      </c>
      <c r="AE384" s="25" t="s">
        <v>814</v>
      </c>
      <c r="AF384" s="25" t="str">
        <f ca="1">Sprache!$A$101</f>
        <v>Zestaw (prawy+lewy)</v>
      </c>
      <c r="AG384" s="25" t="s">
        <v>26</v>
      </c>
      <c r="AH384" s="25" t="str">
        <f ca="1">Sprache!$A$110</f>
        <v>Siłownik A</v>
      </c>
      <c r="AI384" s="25" t="str">
        <f ca="1">Sprache!$A$137</f>
        <v>Adapter do ram aluminiowych, do Kinvaro S-35 zest.</v>
      </c>
      <c r="AJ384" s="242" t="s">
        <v>819</v>
      </c>
      <c r="AK384" s="25">
        <v>450</v>
      </c>
      <c r="AL384" s="24">
        <v>1200</v>
      </c>
      <c r="AM384" s="30"/>
      <c r="AN384" s="24"/>
      <c r="AO384"/>
      <c r="AR384"/>
      <c r="AS384"/>
      <c r="AT384"/>
      <c r="AU384"/>
      <c r="AV384"/>
    </row>
    <row r="385" spans="1:48" x14ac:dyDescent="0.25">
      <c r="A385" t="str">
        <f t="shared" ca="1" si="11"/>
        <v/>
      </c>
      <c r="B385" t="str">
        <f t="shared" ca="1" si="10"/>
        <v/>
      </c>
      <c r="C385" s="79">
        <f>IF('Material+Limits'!$P$5=TRUE,1,0)</f>
        <v>0</v>
      </c>
      <c r="D385" s="39">
        <f>IF(Daten!$O385+Daten!$P385+Daten!$R385=3,1,0)</f>
        <v>0</v>
      </c>
      <c r="E385" s="184">
        <f ca="1">IF(AND('Material+Limits'!$Q$21=TRUE,Daten!N385=1)=TRUE,1,0)</f>
        <v>0</v>
      </c>
      <c r="F385" s="185">
        <f>IF(AND('Material+Limits'!$Q$25=TRUE,Daten!M385=1)=TRUE,1,0)</f>
        <v>0</v>
      </c>
      <c r="G385" s="185">
        <f>IF(AND('Material+Limits'!$Q$24=TRUE,Daten!L385=1)=TRUE,1,0)</f>
        <v>0</v>
      </c>
      <c r="H385" s="185">
        <f>IF(AND('Material+Limits'!$Q$23=TRUE,Daten!K385=1)=TRUE,1,0)</f>
        <v>0</v>
      </c>
      <c r="I385" s="185">
        <f>IF(AND('Material+Limits'!$Q$22=TRUE,Daten!J385=1)=TRUE,1,0)</f>
        <v>0</v>
      </c>
      <c r="J385" s="155">
        <f>IF(Daten!$U385=13,1,0)</f>
        <v>1</v>
      </c>
      <c r="K385" s="156">
        <f>IF(Daten!$U385&lt;&gt;Daten!$V385,1,IF(Daten!$U385=14,1,0))</f>
        <v>1</v>
      </c>
      <c r="L385" s="156">
        <f>IF(Daten!$U385&lt;&gt;Daten!$V385,1,IF(Daten!$U385=16,1,0))</f>
        <v>1</v>
      </c>
      <c r="M385" s="156">
        <f>IF(Daten!$V385=17,1,0)</f>
        <v>1</v>
      </c>
      <c r="N385" s="157">
        <f ca="1">IF(Daten!$W385=Sprache!$A$60,1,0)</f>
        <v>0</v>
      </c>
      <c r="O385" s="169">
        <f>IF(AND(Daten!$AK385&lt;=KINVARO!$AW$3,Daten!$AL385&gt;=KINVARO!$AW$3)=TRUE,1,0)</f>
        <v>1</v>
      </c>
      <c r="P385" s="170">
        <f>IF(AND(Daten!$Z385&lt;=KINVARO!$AW$4,Daten!$AA385&gt;=KINVARO!$AW$4)=TRUE,1,0)</f>
        <v>0</v>
      </c>
      <c r="R385" s="170">
        <f>IF(AND(Daten!$AC385&lt;='Material+Limits'!$I$58,Daten!$AD385&gt;='Material+Limits'!$I$58)=TRUE,1,0)</f>
        <v>1</v>
      </c>
      <c r="S385" s="29">
        <f ca="1">IF(Daten!$X385=Sprache!$A$125,1,0)</f>
        <v>1</v>
      </c>
      <c r="T385" s="28" t="str">
        <f ca="1">Sprache!$A$59</f>
        <v>Podnośnik S-35</v>
      </c>
      <c r="U385" s="32">
        <v>13</v>
      </c>
      <c r="V385" s="29">
        <v>17</v>
      </c>
      <c r="W385" s="30">
        <f ca="1">Sprache!$A$132</f>
        <v>0</v>
      </c>
      <c r="X385" s="30">
        <f ca="1">Sprache!$A$126</f>
        <v>0</v>
      </c>
      <c r="Y385" s="30" t="str">
        <f ca="1">Sprache!$A$69</f>
        <v>Front</v>
      </c>
      <c r="Z385" s="30">
        <v>690</v>
      </c>
      <c r="AA385" s="28">
        <v>719</v>
      </c>
      <c r="AB385" s="30"/>
      <c r="AC385" s="31">
        <v>4</v>
      </c>
      <c r="AD385" s="53">
        <v>8.5</v>
      </c>
      <c r="AE385" s="30" t="s">
        <v>816</v>
      </c>
      <c r="AF385" s="30" t="str">
        <f ca="1">Sprache!$A$101</f>
        <v>Zestaw (prawy+lewy)</v>
      </c>
      <c r="AG385" s="30" t="s">
        <v>26</v>
      </c>
      <c r="AH385" s="30" t="str">
        <f ca="1">Sprache!$A$112</f>
        <v>Siłownik C</v>
      </c>
      <c r="AI385" s="30" t="str">
        <f ca="1">Sprache!$A$137</f>
        <v>Adapter do ram aluminiowych, do Kinvaro S-35 zest.</v>
      </c>
      <c r="AJ385" s="243" t="s">
        <v>819</v>
      </c>
      <c r="AK385" s="30">
        <v>450</v>
      </c>
      <c r="AL385" s="28">
        <v>1200</v>
      </c>
      <c r="AM385" s="30"/>
      <c r="AN385" s="28"/>
      <c r="AO385"/>
      <c r="AR385"/>
      <c r="AS385"/>
      <c r="AT385"/>
      <c r="AU385"/>
      <c r="AV385"/>
    </row>
    <row r="386" spans="1:48" x14ac:dyDescent="0.25">
      <c r="A386" t="str">
        <f t="shared" ca="1" si="11"/>
        <v/>
      </c>
      <c r="B386" t="str">
        <f t="shared" ca="1" si="10"/>
        <v/>
      </c>
      <c r="C386" s="79">
        <f>IF('Material+Limits'!$P$5=TRUE,1,0)</f>
        <v>0</v>
      </c>
      <c r="D386" s="39">
        <f>IF(Daten!$O386+Daten!$P386+Daten!$R386=3,1,0)</f>
        <v>0</v>
      </c>
      <c r="E386" s="184">
        <f ca="1">IF(AND('Material+Limits'!$Q$21=TRUE,Daten!N386=1)=TRUE,1,0)</f>
        <v>0</v>
      </c>
      <c r="F386" s="185">
        <f>IF(AND('Material+Limits'!$Q$25=TRUE,Daten!M386=1)=TRUE,1,0)</f>
        <v>0</v>
      </c>
      <c r="G386" s="185">
        <f>IF(AND('Material+Limits'!$Q$24=TRUE,Daten!L386=1)=TRUE,1,0)</f>
        <v>0</v>
      </c>
      <c r="H386" s="185">
        <f>IF(AND('Material+Limits'!$Q$23=TRUE,Daten!K386=1)=TRUE,1,0)</f>
        <v>0</v>
      </c>
      <c r="I386" s="185">
        <f>IF(AND('Material+Limits'!$Q$22=TRUE,Daten!J386=1)=TRUE,1,0)</f>
        <v>0</v>
      </c>
      <c r="J386" s="158">
        <f>IF(Daten!$U386=13,1,0)</f>
        <v>1</v>
      </c>
      <c r="K386" s="159">
        <f>IF(Daten!$U386&lt;&gt;Daten!$V386,1,IF(Daten!$U386=14,1,0))</f>
        <v>1</v>
      </c>
      <c r="L386" s="159">
        <f>IF(Daten!$U386&lt;&gt;Daten!$V386,1,IF(Daten!$U386=16,1,0))</f>
        <v>1</v>
      </c>
      <c r="M386" s="159">
        <f>IF(Daten!$V386=17,1,0)</f>
        <v>1</v>
      </c>
      <c r="N386" s="160">
        <f ca="1">IF(Daten!$W386=Sprache!$A$60,1,0)</f>
        <v>0</v>
      </c>
      <c r="O386" s="171">
        <f>IF(AND(Daten!$AK386&lt;=KINVARO!$AW$3,Daten!$AL386&gt;=KINVARO!$AW$3)=TRUE,1,0)</f>
        <v>1</v>
      </c>
      <c r="P386" s="172">
        <f>IF(AND(Daten!$Z386&lt;=KINVARO!$AW$4,Daten!$AA386&gt;=KINVARO!$AW$4)=TRUE,1,0)</f>
        <v>0</v>
      </c>
      <c r="Q386" s="172"/>
      <c r="R386" s="172">
        <f>IF(AND(Daten!$AC386&lt;='Material+Limits'!$I$58,Daten!$AD386&gt;='Material+Limits'!$I$58)=TRUE,1,0)</f>
        <v>0</v>
      </c>
      <c r="S386" s="23">
        <f ca="1">IF(Daten!$X386=Sprache!$A$125,1,0)</f>
        <v>1</v>
      </c>
      <c r="T386" s="24" t="str">
        <f ca="1">Sprache!$A$59</f>
        <v>Podnośnik S-35</v>
      </c>
      <c r="U386" s="27">
        <v>13</v>
      </c>
      <c r="V386" s="23">
        <v>17</v>
      </c>
      <c r="W386" s="25">
        <f ca="1">Sprache!$A$132</f>
        <v>0</v>
      </c>
      <c r="X386" s="25">
        <f ca="1">Sprache!$A$126</f>
        <v>0</v>
      </c>
      <c r="Y386" s="25" t="str">
        <f ca="1">Sprache!$A$69</f>
        <v>Front</v>
      </c>
      <c r="Z386" s="25">
        <v>690</v>
      </c>
      <c r="AA386" s="24">
        <v>719</v>
      </c>
      <c r="AB386" s="25"/>
      <c r="AC386" s="26">
        <v>6.5</v>
      </c>
      <c r="AD386" s="54">
        <v>13.5</v>
      </c>
      <c r="AE386" s="25" t="s">
        <v>817</v>
      </c>
      <c r="AF386" s="25" t="str">
        <f ca="1">Sprache!$A$101</f>
        <v>Zestaw (prawy+lewy)</v>
      </c>
      <c r="AG386" s="25" t="s">
        <v>26</v>
      </c>
      <c r="AH386" s="25" t="str">
        <f ca="1">Sprache!$A$113</f>
        <v>Siłownik D</v>
      </c>
      <c r="AI386" s="25" t="str">
        <f ca="1">Sprache!$A$137</f>
        <v>Adapter do ram aluminiowych, do Kinvaro S-35 zest.</v>
      </c>
      <c r="AJ386" s="242" t="s">
        <v>819</v>
      </c>
      <c r="AK386" s="25">
        <v>450</v>
      </c>
      <c r="AL386" s="24">
        <v>1200</v>
      </c>
      <c r="AM386" s="30"/>
      <c r="AN386" s="24"/>
      <c r="AO386"/>
      <c r="AR386"/>
      <c r="AS386"/>
      <c r="AT386"/>
      <c r="AU386"/>
      <c r="AV386"/>
    </row>
    <row r="387" spans="1:48" s="5" customFormat="1" x14ac:dyDescent="0.25">
      <c r="A387" t="str">
        <f t="shared" ca="1" si="11"/>
        <v/>
      </c>
      <c r="B387" t="str">
        <f t="shared" ca="1" si="10"/>
        <v/>
      </c>
      <c r="C387" s="79">
        <f>IF('Material+Limits'!$P$5=TRUE,1,0)</f>
        <v>0</v>
      </c>
      <c r="D387" s="39">
        <f>IF(Daten!$O387+Daten!$P387+Daten!$R387=3,1,0)</f>
        <v>0</v>
      </c>
      <c r="E387" s="184">
        <f ca="1">IF(AND('Material+Limits'!$Q$21=TRUE,Daten!N387=1)=TRUE,1,0)</f>
        <v>0</v>
      </c>
      <c r="F387" s="185">
        <f>IF(AND('Material+Limits'!$Q$25=TRUE,Daten!M387=1)=TRUE,1,0)</f>
        <v>0</v>
      </c>
      <c r="G387" s="185">
        <f>IF(AND('Material+Limits'!$Q$24=TRUE,Daten!L387=1)=TRUE,1,0)</f>
        <v>0</v>
      </c>
      <c r="H387" s="185">
        <f>IF(AND('Material+Limits'!$Q$23=TRUE,Daten!K387=1)=TRUE,1,0)</f>
        <v>0</v>
      </c>
      <c r="I387" s="185">
        <f>IF(AND('Material+Limits'!$Q$22=TRUE,Daten!J387=1)=TRUE,1,0)</f>
        <v>0</v>
      </c>
      <c r="J387" s="155">
        <f>IF(Daten!$U387=13,1,0)</f>
        <v>1</v>
      </c>
      <c r="K387" s="156">
        <f>IF(Daten!$U387&lt;&gt;Daten!$V387,1,IF(Daten!$U387=14,1,0))</f>
        <v>1</v>
      </c>
      <c r="L387" s="156">
        <f>IF(Daten!$U387&lt;&gt;Daten!$V387,1,IF(Daten!$U387=16,1,0))</f>
        <v>1</v>
      </c>
      <c r="M387" s="156">
        <f>IF(Daten!$V387=17,1,0)</f>
        <v>1</v>
      </c>
      <c r="N387" s="157">
        <f ca="1">IF(Daten!$W387=Sprache!$A$60,1,0)</f>
        <v>0</v>
      </c>
      <c r="O387" s="169">
        <f>IF(AND(Daten!$AK387&lt;=KINVARO!$AW$3,Daten!$AL387&gt;=KINVARO!$AW$3)=TRUE,1,0)</f>
        <v>1</v>
      </c>
      <c r="P387" s="170">
        <f>IF(AND(Daten!$Z387&lt;=KINVARO!$AW$4,Daten!$AA387&gt;=KINVARO!$AW$4)=TRUE,1,0)</f>
        <v>0</v>
      </c>
      <c r="Q387" s="170"/>
      <c r="R387" s="170">
        <f>IF(AND(Daten!$AC387&lt;='Material+Limits'!$I$58,Daten!$AD387&gt;='Material+Limits'!$I$58)=TRUE,1,0)</f>
        <v>0</v>
      </c>
      <c r="S387" s="29">
        <f ca="1">IF(Daten!$X387=Sprache!$A$125,1,0)</f>
        <v>1</v>
      </c>
      <c r="T387" s="28" t="str">
        <f ca="1">Sprache!$A$59</f>
        <v>Podnośnik S-35</v>
      </c>
      <c r="U387" s="32">
        <v>13</v>
      </c>
      <c r="V387" s="29">
        <v>17</v>
      </c>
      <c r="W387" s="30">
        <f ca="1">Sprache!$A$132</f>
        <v>0</v>
      </c>
      <c r="X387" s="30">
        <f ca="1">Sprache!$A$126</f>
        <v>0</v>
      </c>
      <c r="Y387" s="30" t="str">
        <f ca="1">Sprache!$A$69</f>
        <v>Front</v>
      </c>
      <c r="Z387" s="30">
        <v>690</v>
      </c>
      <c r="AA387" s="28">
        <v>719</v>
      </c>
      <c r="AB387" s="30"/>
      <c r="AC387" s="31">
        <v>12</v>
      </c>
      <c r="AD387" s="53">
        <v>17.5</v>
      </c>
      <c r="AE387" s="30" t="s">
        <v>818</v>
      </c>
      <c r="AF387" s="30" t="str">
        <f ca="1">Sprache!$A$101</f>
        <v>Zestaw (prawy+lewy)</v>
      </c>
      <c r="AG387" s="30" t="s">
        <v>26</v>
      </c>
      <c r="AH387" s="30" t="str">
        <f ca="1">Sprache!$A$114</f>
        <v>Siłownik E</v>
      </c>
      <c r="AI387" s="30" t="str">
        <f ca="1">Sprache!$A$137</f>
        <v>Adapter do ram aluminiowych, do Kinvaro S-35 zest.</v>
      </c>
      <c r="AJ387" s="243" t="s">
        <v>819</v>
      </c>
      <c r="AK387" s="30">
        <v>450</v>
      </c>
      <c r="AL387" s="28">
        <v>1200</v>
      </c>
      <c r="AM387" s="30"/>
      <c r="AN387" s="28"/>
    </row>
    <row r="388" spans="1:48" x14ac:dyDescent="0.25">
      <c r="A388" t="str">
        <f t="shared" ca="1" si="11"/>
        <v/>
      </c>
      <c r="B388" t="str">
        <f t="shared" ca="1" si="10"/>
        <v/>
      </c>
      <c r="C388" s="79">
        <f>IF('Material+Limits'!$P$5=TRUE,1,0)</f>
        <v>0</v>
      </c>
      <c r="D388" s="39">
        <f>IF(Daten!$O388+Daten!$P388+Daten!$R388=3,1,0)</f>
        <v>0</v>
      </c>
      <c r="E388" s="184">
        <f ca="1">IF(AND('Material+Limits'!$Q$21=TRUE,Daten!N388=1)=TRUE,1,0)</f>
        <v>1</v>
      </c>
      <c r="F388" s="185">
        <f ca="1">IF(AND('Material+Limits'!$Q$25=TRUE,Daten!M388=1)=TRUE,1,0)</f>
        <v>0</v>
      </c>
      <c r="G388" s="185">
        <f ca="1">IF(AND('Material+Limits'!$Q$24=TRUE,Daten!L388=1)=TRUE,1,0)</f>
        <v>0</v>
      </c>
      <c r="H388" s="185">
        <f ca="1">IF(AND('Material+Limits'!$Q$23=TRUE,Daten!K388=1)=TRUE,1,0)</f>
        <v>0</v>
      </c>
      <c r="I388" s="185">
        <f ca="1">IF(AND('Material+Limits'!$Q$22=TRUE,Daten!J388=1)=TRUE,1,0)</f>
        <v>0</v>
      </c>
      <c r="J388" s="158">
        <f ca="1">IF(Daten!$U388=13,1,0)</f>
        <v>0</v>
      </c>
      <c r="K388" s="159">
        <f ca="1">IF(Daten!$U388&lt;&gt;Daten!$V388,1,IF(Daten!$U388=14,1,0))</f>
        <v>0</v>
      </c>
      <c r="L388" s="159">
        <f ca="1">IF(Daten!$U388&lt;&gt;Daten!$V388,1,IF(Daten!$U388=16,1,0))</f>
        <v>0</v>
      </c>
      <c r="M388" s="159">
        <f ca="1">IF(Daten!$V388=17,1,0)</f>
        <v>0</v>
      </c>
      <c r="N388" s="160">
        <f ca="1">IF(Daten!$W388=Sprache!$A$60,1,0)</f>
        <v>1</v>
      </c>
      <c r="O388" s="173">
        <f>IF(AND(Daten!$AK388&lt;=KINVARO!$AW$3,Daten!$AL388&gt;=KINVARO!$AW$3)=TRUE,1,0)</f>
        <v>1</v>
      </c>
      <c r="P388" s="174">
        <f>IF(AND(Daten!$Z388&lt;=KINVARO!$AW$4,Daten!$AA388&gt;=KINVARO!$AW$4)=TRUE,1,0)</f>
        <v>0</v>
      </c>
      <c r="Q388" s="174"/>
      <c r="R388" s="174">
        <f>IF(AND(Daten!$AC388&lt;='Material+Limits'!$I$58,Daten!$AD388&gt;='Material+Limits'!$I$58)=TRUE,1,0)</f>
        <v>1</v>
      </c>
      <c r="S388" s="38">
        <f ca="1">IF(Daten!$X388=Sprache!$A$125,1,0)</f>
        <v>1</v>
      </c>
      <c r="T388" s="57" t="str">
        <f ca="1">Sprache!$A$59</f>
        <v>Podnośnik S-35</v>
      </c>
      <c r="U388" s="55">
        <f ca="1">Sprache!$A$64</f>
        <v>0</v>
      </c>
      <c r="V388" s="38">
        <f ca="1">Sprache!$A$64</f>
        <v>0</v>
      </c>
      <c r="W388" s="56" t="str">
        <f ca="1">Sprache!$A$60</f>
        <v>Front lity (drewno/płyta)</v>
      </c>
      <c r="X388" s="25">
        <f ca="1">Sprache!$A$126</f>
        <v>0</v>
      </c>
      <c r="Y388" s="56" t="str">
        <f ca="1">Sprache!$A$69</f>
        <v>Front</v>
      </c>
      <c r="Z388" s="56">
        <v>720</v>
      </c>
      <c r="AA388" s="57">
        <v>750</v>
      </c>
      <c r="AB388" s="56"/>
      <c r="AC388" s="58">
        <v>4</v>
      </c>
      <c r="AD388" s="59">
        <v>8</v>
      </c>
      <c r="AE388" s="56" t="s">
        <v>816</v>
      </c>
      <c r="AF388" s="56" t="str">
        <f ca="1">Sprache!$A$101</f>
        <v>Zestaw (prawy+lewy)</v>
      </c>
      <c r="AG388" s="56" t="s">
        <v>26</v>
      </c>
      <c r="AH388" s="56" t="str">
        <f ca="1">Sprache!$A$112</f>
        <v>Siłownik C</v>
      </c>
      <c r="AI388" s="56" t="s">
        <v>26</v>
      </c>
      <c r="AJ388" s="56" t="s">
        <v>26</v>
      </c>
      <c r="AK388" s="56">
        <v>450</v>
      </c>
      <c r="AL388" s="57">
        <v>1200</v>
      </c>
      <c r="AM388" s="30"/>
      <c r="AN388" s="24"/>
      <c r="AO388"/>
      <c r="AR388"/>
      <c r="AS388"/>
      <c r="AT388"/>
      <c r="AU388"/>
      <c r="AV388"/>
    </row>
    <row r="389" spans="1:48" x14ac:dyDescent="0.25">
      <c r="A389" t="str">
        <f t="shared" ca="1" si="11"/>
        <v/>
      </c>
      <c r="B389" t="str">
        <f t="shared" ca="1" si="10"/>
        <v/>
      </c>
      <c r="C389" s="79">
        <f>IF('Material+Limits'!$P$5=TRUE,1,0)</f>
        <v>0</v>
      </c>
      <c r="D389" s="39">
        <f>IF(Daten!$O389+Daten!$P389+Daten!$R389=3,1,0)</f>
        <v>0</v>
      </c>
      <c r="E389" s="184">
        <f ca="1">IF(AND('Material+Limits'!$Q$21=TRUE,Daten!N389=1)=TRUE,1,0)</f>
        <v>1</v>
      </c>
      <c r="F389" s="185">
        <f ca="1">IF(AND('Material+Limits'!$Q$25=TRUE,Daten!M389=1)=TRUE,1,0)</f>
        <v>0</v>
      </c>
      <c r="G389" s="185">
        <f ca="1">IF(AND('Material+Limits'!$Q$24=TRUE,Daten!L389=1)=TRUE,1,0)</f>
        <v>0</v>
      </c>
      <c r="H389" s="185">
        <f ca="1">IF(AND('Material+Limits'!$Q$23=TRUE,Daten!K389=1)=TRUE,1,0)</f>
        <v>0</v>
      </c>
      <c r="I389" s="185">
        <f ca="1">IF(AND('Material+Limits'!$Q$22=TRUE,Daten!J389=1)=TRUE,1,0)</f>
        <v>0</v>
      </c>
      <c r="J389" s="155">
        <f ca="1">IF(Daten!$U389=13,1,0)</f>
        <v>0</v>
      </c>
      <c r="K389" s="156">
        <f ca="1">IF(Daten!$U389&lt;&gt;Daten!$V389,1,IF(Daten!$U389=14,1,0))</f>
        <v>0</v>
      </c>
      <c r="L389" s="156">
        <f ca="1">IF(Daten!$U389&lt;&gt;Daten!$V389,1,IF(Daten!$U389=16,1,0))</f>
        <v>0</v>
      </c>
      <c r="M389" s="156">
        <f ca="1">IF(Daten!$V389=17,1,0)</f>
        <v>0</v>
      </c>
      <c r="N389" s="157">
        <f ca="1">IF(Daten!$W389=Sprache!$A$60,1,0)</f>
        <v>1</v>
      </c>
      <c r="O389" s="169">
        <f>IF(AND(Daten!$AK389&lt;=KINVARO!$AW$3,Daten!$AL389&gt;=KINVARO!$AW$3)=TRUE,1,0)</f>
        <v>1</v>
      </c>
      <c r="P389" s="170">
        <f>IF(AND(Daten!$Z389&lt;=KINVARO!$AW$4,Daten!$AA389&gt;=KINVARO!$AW$4)=TRUE,1,0)</f>
        <v>0</v>
      </c>
      <c r="R389" s="170">
        <f>IF(AND(Daten!$AC389&lt;='Material+Limits'!$I$58,Daten!$AD389&gt;='Material+Limits'!$I$58)=TRUE,1,0)</f>
        <v>0</v>
      </c>
      <c r="S389" s="29">
        <f ca="1">IF(Daten!$X389=Sprache!$A$125,1,0)</f>
        <v>1</v>
      </c>
      <c r="T389" s="28" t="str">
        <f ca="1">Sprache!$A$59</f>
        <v>Podnośnik S-35</v>
      </c>
      <c r="U389" s="32">
        <f ca="1">Sprache!$A$64</f>
        <v>0</v>
      </c>
      <c r="V389" s="29">
        <f ca="1">Sprache!$A$64</f>
        <v>0</v>
      </c>
      <c r="W389" s="30" t="str">
        <f ca="1">Sprache!$A$60</f>
        <v>Front lity (drewno/płyta)</v>
      </c>
      <c r="X389" s="30">
        <f ca="1">Sprache!$A$126</f>
        <v>0</v>
      </c>
      <c r="Y389" s="30" t="str">
        <f ca="1">Sprache!$A$69</f>
        <v>Front</v>
      </c>
      <c r="Z389" s="30">
        <v>720</v>
      </c>
      <c r="AA389" s="28">
        <v>750</v>
      </c>
      <c r="AB389" s="30"/>
      <c r="AC389" s="31">
        <v>6.5</v>
      </c>
      <c r="AD389" s="53">
        <v>12.5</v>
      </c>
      <c r="AE389" s="30" t="s">
        <v>817</v>
      </c>
      <c r="AF389" s="30" t="str">
        <f ca="1">Sprache!$A$101</f>
        <v>Zestaw (prawy+lewy)</v>
      </c>
      <c r="AG389" s="30" t="s">
        <v>26</v>
      </c>
      <c r="AH389" s="30" t="str">
        <f ca="1">Sprache!$A$113</f>
        <v>Siłownik D</v>
      </c>
      <c r="AI389" s="30" t="s">
        <v>26</v>
      </c>
      <c r="AJ389" s="30" t="s">
        <v>26</v>
      </c>
      <c r="AK389" s="30">
        <v>450</v>
      </c>
      <c r="AL389" s="28">
        <v>1200</v>
      </c>
      <c r="AM389" s="30"/>
      <c r="AN389" s="28"/>
      <c r="AO389"/>
      <c r="AR389"/>
      <c r="AS389"/>
      <c r="AT389"/>
      <c r="AU389"/>
      <c r="AV389"/>
    </row>
    <row r="390" spans="1:48" x14ac:dyDescent="0.25">
      <c r="A390" t="str">
        <f t="shared" ca="1" si="11"/>
        <v/>
      </c>
      <c r="B390" t="str">
        <f t="shared" ca="1" si="10"/>
        <v/>
      </c>
      <c r="C390" s="79">
        <f>IF('Material+Limits'!$P$5=TRUE,1,0)</f>
        <v>0</v>
      </c>
      <c r="D390" s="39">
        <f>IF(Daten!$O390+Daten!$P390+Daten!$R390=3,1,0)</f>
        <v>0</v>
      </c>
      <c r="E390" s="184">
        <f ca="1">IF(AND('Material+Limits'!$Q$21=TRUE,Daten!N390=1)=TRUE,1,0)</f>
        <v>1</v>
      </c>
      <c r="F390" s="185">
        <f ca="1">IF(AND('Material+Limits'!$Q$25=TRUE,Daten!M390=1)=TRUE,1,0)</f>
        <v>0</v>
      </c>
      <c r="G390" s="185">
        <f ca="1">IF(AND('Material+Limits'!$Q$24=TRUE,Daten!L390=1)=TRUE,1,0)</f>
        <v>0</v>
      </c>
      <c r="H390" s="185">
        <f ca="1">IF(AND('Material+Limits'!$Q$23=TRUE,Daten!K390=1)=TRUE,1,0)</f>
        <v>0</v>
      </c>
      <c r="I390" s="185">
        <f ca="1">IF(AND('Material+Limits'!$Q$22=TRUE,Daten!J390=1)=TRUE,1,0)</f>
        <v>0</v>
      </c>
      <c r="J390" s="158">
        <f ca="1">IF(Daten!$U390=13,1,0)</f>
        <v>0</v>
      </c>
      <c r="K390" s="159">
        <f ca="1">IF(Daten!$U390&lt;&gt;Daten!$V390,1,IF(Daten!$U390=14,1,0))</f>
        <v>0</v>
      </c>
      <c r="L390" s="159">
        <f ca="1">IF(Daten!$U390&lt;&gt;Daten!$V390,1,IF(Daten!$U390=16,1,0))</f>
        <v>0</v>
      </c>
      <c r="M390" s="159">
        <f ca="1">IF(Daten!$V390=17,1,0)</f>
        <v>0</v>
      </c>
      <c r="N390" s="160">
        <f ca="1">IF(Daten!$W390=Sprache!$A$60,1,0)</f>
        <v>1</v>
      </c>
      <c r="O390" s="171">
        <f>IF(AND(Daten!$AK390&lt;=KINVARO!$AW$3,Daten!$AL390&gt;=KINVARO!$AW$3)=TRUE,1,0)</f>
        <v>1</v>
      </c>
      <c r="P390" s="172">
        <f>IF(AND(Daten!$Z390&lt;=KINVARO!$AW$4,Daten!$AA390&gt;=KINVARO!$AW$4)=TRUE,1,0)</f>
        <v>0</v>
      </c>
      <c r="Q390" s="172"/>
      <c r="R390" s="172">
        <f>IF(AND(Daten!$AC390&lt;='Material+Limits'!$I$58,Daten!$AD390&gt;='Material+Limits'!$I$58)=TRUE,1,0)</f>
        <v>0</v>
      </c>
      <c r="S390" s="23">
        <f ca="1">IF(Daten!$X390=Sprache!$A$125,1,0)</f>
        <v>1</v>
      </c>
      <c r="T390" s="24" t="str">
        <f ca="1">Sprache!$A$59</f>
        <v>Podnośnik S-35</v>
      </c>
      <c r="U390" s="27">
        <f ca="1">Sprache!$A$64</f>
        <v>0</v>
      </c>
      <c r="V390" s="23">
        <f ca="1">Sprache!$A$64</f>
        <v>0</v>
      </c>
      <c r="W390" s="25" t="str">
        <f ca="1">Sprache!$A$60</f>
        <v>Front lity (drewno/płyta)</v>
      </c>
      <c r="X390" s="25">
        <f ca="1">Sprache!$A$126</f>
        <v>0</v>
      </c>
      <c r="Y390" s="25" t="str">
        <f ca="1">Sprache!$A$69</f>
        <v>Front</v>
      </c>
      <c r="Z390" s="25">
        <v>720</v>
      </c>
      <c r="AA390" s="24">
        <v>750</v>
      </c>
      <c r="AB390" s="25"/>
      <c r="AC390" s="26">
        <v>10</v>
      </c>
      <c r="AD390" s="54">
        <v>17</v>
      </c>
      <c r="AE390" s="25" t="s">
        <v>818</v>
      </c>
      <c r="AF390" s="25" t="str">
        <f ca="1">Sprache!$A$101</f>
        <v>Zestaw (prawy+lewy)</v>
      </c>
      <c r="AG390" s="25" t="s">
        <v>26</v>
      </c>
      <c r="AH390" s="25" t="str">
        <f ca="1">Sprache!$A$114</f>
        <v>Siłownik E</v>
      </c>
      <c r="AI390" s="25" t="s">
        <v>26</v>
      </c>
      <c r="AJ390" s="25" t="s">
        <v>26</v>
      </c>
      <c r="AK390" s="25">
        <v>450</v>
      </c>
      <c r="AL390" s="24">
        <v>1200</v>
      </c>
      <c r="AM390" s="30"/>
      <c r="AN390" s="24"/>
      <c r="AO390"/>
      <c r="AR390"/>
      <c r="AS390"/>
      <c r="AT390"/>
      <c r="AU390"/>
      <c r="AV390"/>
    </row>
    <row r="391" spans="1:48" x14ac:dyDescent="0.25">
      <c r="A391" t="str">
        <f t="shared" ca="1" si="11"/>
        <v/>
      </c>
      <c r="B391" t="str">
        <f t="shared" ca="1" si="10"/>
        <v/>
      </c>
      <c r="C391" s="79">
        <f>IF('Material+Limits'!$P$5=TRUE,1,0)</f>
        <v>0</v>
      </c>
      <c r="D391" s="39">
        <f>IF(Daten!$O391+Daten!$P391+Daten!$R391=3,1,0)</f>
        <v>0</v>
      </c>
      <c r="E391" s="184">
        <f ca="1">IF(AND('Material+Limits'!$Q$21=TRUE,Daten!N391=1)=TRUE,1,0)</f>
        <v>0</v>
      </c>
      <c r="F391" s="185">
        <f>IF(AND('Material+Limits'!$Q$25=TRUE,Daten!M391=1)=TRUE,1,0)</f>
        <v>0</v>
      </c>
      <c r="G391" s="185">
        <f>IF(AND('Material+Limits'!$Q$24=TRUE,Daten!L391=1)=TRUE,1,0)</f>
        <v>0</v>
      </c>
      <c r="H391" s="185">
        <f>IF(AND('Material+Limits'!$Q$23=TRUE,Daten!K391=1)=TRUE,1,0)</f>
        <v>0</v>
      </c>
      <c r="I391" s="185">
        <f>IF(AND('Material+Limits'!$Q$22=TRUE,Daten!J391=1)=TRUE,1,0)</f>
        <v>0</v>
      </c>
      <c r="J391" s="155">
        <f>IF(Daten!$U391=13,1,0)</f>
        <v>1</v>
      </c>
      <c r="K391" s="156">
        <f>IF(Daten!$U391&lt;&gt;Daten!$V391,1,IF(Daten!$U391=14,1,0))</f>
        <v>1</v>
      </c>
      <c r="L391" s="156">
        <f>IF(Daten!$U391&lt;&gt;Daten!$V391,1,IF(Daten!$U391=16,1,0))</f>
        <v>1</v>
      </c>
      <c r="M391" s="156">
        <f>IF(Daten!$V391=17,1,0)</f>
        <v>1</v>
      </c>
      <c r="N391" s="157">
        <f ca="1">IF(Daten!$W391=Sprache!$A$60,1,0)</f>
        <v>0</v>
      </c>
      <c r="O391" s="169">
        <f>IF(AND(Daten!$AK391&lt;=KINVARO!$AW$3,Daten!$AL391&gt;=KINVARO!$AW$3)=TRUE,1,0)</f>
        <v>1</v>
      </c>
      <c r="P391" s="170">
        <f>IF(AND(Daten!$Z391&lt;=KINVARO!$AW$4,Daten!$AA391&gt;=KINVARO!$AW$4)=TRUE,1,0)</f>
        <v>0</v>
      </c>
      <c r="R391" s="170">
        <f>IF(AND(Daten!$AC391&lt;='Material+Limits'!$I$58,Daten!$AD391&gt;='Material+Limits'!$I$58)=TRUE,1,0)</f>
        <v>1</v>
      </c>
      <c r="S391" s="29">
        <f ca="1">IF(Daten!$X391=Sprache!$A$125,1,0)</f>
        <v>1</v>
      </c>
      <c r="T391" s="28" t="str">
        <f ca="1">Sprache!$A$59</f>
        <v>Podnośnik S-35</v>
      </c>
      <c r="U391" s="32">
        <v>13</v>
      </c>
      <c r="V391" s="29">
        <v>17</v>
      </c>
      <c r="W391" s="30">
        <f ca="1">Sprache!$A$132</f>
        <v>0</v>
      </c>
      <c r="X391" s="30">
        <f ca="1">Sprache!$A$126</f>
        <v>0</v>
      </c>
      <c r="Y391" s="30" t="str">
        <f ca="1">Sprache!$A$69</f>
        <v>Front</v>
      </c>
      <c r="Z391" s="30">
        <v>720</v>
      </c>
      <c r="AA391" s="28">
        <v>750</v>
      </c>
      <c r="AB391" s="30"/>
      <c r="AC391" s="31">
        <v>4</v>
      </c>
      <c r="AD391" s="53">
        <v>8</v>
      </c>
      <c r="AE391" s="30" t="s">
        <v>816</v>
      </c>
      <c r="AF391" s="30" t="str">
        <f ca="1">Sprache!$A$101</f>
        <v>Zestaw (prawy+lewy)</v>
      </c>
      <c r="AG391" s="30" t="s">
        <v>26</v>
      </c>
      <c r="AH391" s="30" t="str">
        <f ca="1">Sprache!$A$112</f>
        <v>Siłownik C</v>
      </c>
      <c r="AI391" s="30" t="str">
        <f ca="1">Sprache!$A$137</f>
        <v>Adapter do ram aluminiowych, do Kinvaro S-35 zest.</v>
      </c>
      <c r="AJ391" s="243" t="s">
        <v>819</v>
      </c>
      <c r="AK391" s="30">
        <v>450</v>
      </c>
      <c r="AL391" s="28">
        <v>1200</v>
      </c>
      <c r="AM391" s="30"/>
      <c r="AN391" s="28"/>
      <c r="AO391"/>
      <c r="AR391"/>
      <c r="AS391"/>
      <c r="AT391"/>
      <c r="AU391"/>
      <c r="AV391"/>
    </row>
    <row r="392" spans="1:48" x14ac:dyDescent="0.25">
      <c r="A392" t="str">
        <f t="shared" ca="1" si="11"/>
        <v/>
      </c>
      <c r="B392" t="str">
        <f t="shared" ref="B392:B393" ca="1" si="14">IF(F392+G392+H392+I392+D392+E392=2,1,"")</f>
        <v/>
      </c>
      <c r="C392" s="79">
        <f>IF('Material+Limits'!$P$5=TRUE,1,0)</f>
        <v>0</v>
      </c>
      <c r="D392" s="39">
        <f>IF(Daten!$O392+Daten!$P392+Daten!$R392=3,1,0)</f>
        <v>0</v>
      </c>
      <c r="E392" s="184">
        <f ca="1">IF(AND('Material+Limits'!$Q$21=TRUE,Daten!N392=1)=TRUE,1,0)</f>
        <v>0</v>
      </c>
      <c r="F392" s="185">
        <f>IF(AND('Material+Limits'!$Q$25=TRUE,Daten!M392=1)=TRUE,1,0)</f>
        <v>0</v>
      </c>
      <c r="G392" s="185">
        <f>IF(AND('Material+Limits'!$Q$24=TRUE,Daten!L392=1)=TRUE,1,0)</f>
        <v>0</v>
      </c>
      <c r="H392" s="185">
        <f>IF(AND('Material+Limits'!$Q$23=TRUE,Daten!K392=1)=TRUE,1,0)</f>
        <v>0</v>
      </c>
      <c r="I392" s="185">
        <f>IF(AND('Material+Limits'!$Q$22=TRUE,Daten!J392=1)=TRUE,1,0)</f>
        <v>0</v>
      </c>
      <c r="J392" s="158">
        <f>IF(Daten!$U392=13,1,0)</f>
        <v>1</v>
      </c>
      <c r="K392" s="159">
        <f>IF(Daten!$U392&lt;&gt;Daten!$V392,1,IF(Daten!$U392=14,1,0))</f>
        <v>1</v>
      </c>
      <c r="L392" s="159">
        <f>IF(Daten!$U392&lt;&gt;Daten!$V392,1,IF(Daten!$U392=16,1,0))</f>
        <v>1</v>
      </c>
      <c r="M392" s="159">
        <f>IF(Daten!$V392=17,1,0)</f>
        <v>1</v>
      </c>
      <c r="N392" s="160">
        <f ca="1">IF(Daten!$W392=Sprache!$A$60,1,0)</f>
        <v>0</v>
      </c>
      <c r="O392" s="171">
        <f>IF(AND(Daten!$AK392&lt;=KINVARO!$AW$3,Daten!$AL392&gt;=KINVARO!$AW$3)=TRUE,1,0)</f>
        <v>1</v>
      </c>
      <c r="P392" s="172">
        <f>IF(AND(Daten!$Z392&lt;=KINVARO!$AW$4,Daten!$AA392&gt;=KINVARO!$AW$4)=TRUE,1,0)</f>
        <v>0</v>
      </c>
      <c r="Q392" s="172"/>
      <c r="R392" s="172">
        <f>IF(AND(Daten!$AC392&lt;='Material+Limits'!$I$58,Daten!$AD392&gt;='Material+Limits'!$I$58)=TRUE,1,0)</f>
        <v>0</v>
      </c>
      <c r="S392" s="23">
        <f ca="1">IF(Daten!$X392=Sprache!$A$125,1,0)</f>
        <v>1</v>
      </c>
      <c r="T392" s="24" t="str">
        <f ca="1">Sprache!$A$59</f>
        <v>Podnośnik S-35</v>
      </c>
      <c r="U392" s="27">
        <v>13</v>
      </c>
      <c r="V392" s="23">
        <v>17</v>
      </c>
      <c r="W392" s="25">
        <f ca="1">Sprache!$A$132</f>
        <v>0</v>
      </c>
      <c r="X392" s="25">
        <f ca="1">Sprache!$A$126</f>
        <v>0</v>
      </c>
      <c r="Y392" s="25" t="str">
        <f ca="1">Sprache!$A$69</f>
        <v>Front</v>
      </c>
      <c r="Z392" s="25">
        <v>720</v>
      </c>
      <c r="AA392" s="24">
        <v>750</v>
      </c>
      <c r="AB392" s="25"/>
      <c r="AC392" s="26">
        <v>6.5</v>
      </c>
      <c r="AD392" s="54">
        <v>12.5</v>
      </c>
      <c r="AE392" s="25" t="s">
        <v>817</v>
      </c>
      <c r="AF392" s="25" t="str">
        <f ca="1">Sprache!$A$101</f>
        <v>Zestaw (prawy+lewy)</v>
      </c>
      <c r="AG392" s="25" t="s">
        <v>26</v>
      </c>
      <c r="AH392" s="25" t="str">
        <f ca="1">Sprache!$A$113</f>
        <v>Siłownik D</v>
      </c>
      <c r="AI392" s="25" t="str">
        <f ca="1">Sprache!$A$137</f>
        <v>Adapter do ram aluminiowych, do Kinvaro S-35 zest.</v>
      </c>
      <c r="AJ392" s="242" t="s">
        <v>819</v>
      </c>
      <c r="AK392" s="25">
        <v>450</v>
      </c>
      <c r="AL392" s="24">
        <v>1200</v>
      </c>
      <c r="AM392" s="30"/>
      <c r="AN392" s="24"/>
      <c r="AO392"/>
      <c r="AR392"/>
      <c r="AS392"/>
      <c r="AT392"/>
      <c r="AU392"/>
      <c r="AV392"/>
    </row>
    <row r="393" spans="1:48" s="9" customFormat="1" ht="15.75" thickBot="1" x14ac:dyDescent="0.3">
      <c r="A393" t="str">
        <f t="shared" ref="A393" ca="1" si="15">IF(E393+F393+G393+H393+I393+C393+D393=3,1,"")</f>
        <v/>
      </c>
      <c r="B393" t="str">
        <f t="shared" ca="1" si="14"/>
        <v/>
      </c>
      <c r="C393" s="79">
        <f>IF('Material+Limits'!$P$5=TRUE,1,0)</f>
        <v>0</v>
      </c>
      <c r="D393" s="39">
        <f>IF(Daten!$O393+Daten!$P393+Daten!$R393=3,1,0)</f>
        <v>0</v>
      </c>
      <c r="E393" s="184">
        <f ca="1">IF(AND('Material+Limits'!$Q$21=TRUE,Daten!N393=1)=TRUE,1,0)</f>
        <v>0</v>
      </c>
      <c r="F393" s="185">
        <f>IF(AND('Material+Limits'!$Q$25=TRUE,Daten!M393=1)=TRUE,1,0)</f>
        <v>0</v>
      </c>
      <c r="G393" s="185">
        <f>IF(AND('Material+Limits'!$Q$24=TRUE,Daten!L393=1)=TRUE,1,0)</f>
        <v>0</v>
      </c>
      <c r="H393" s="185">
        <f>IF(AND('Material+Limits'!$Q$23=TRUE,Daten!K393=1)=TRUE,1,0)</f>
        <v>0</v>
      </c>
      <c r="I393" s="185">
        <f>IF(AND('Material+Limits'!$Q$22=TRUE,Daten!J393=1)=TRUE,1,0)</f>
        <v>0</v>
      </c>
      <c r="J393" s="161">
        <f>IF(Daten!$U393=13,1,0)</f>
        <v>1</v>
      </c>
      <c r="K393" s="162">
        <f>IF(Daten!$U393&lt;&gt;Daten!$V393,1,IF(Daten!$U393=14,1,0))</f>
        <v>1</v>
      </c>
      <c r="L393" s="162">
        <f>IF(Daten!$U393&lt;&gt;Daten!$V393,1,IF(Daten!$U393=16,1,0))</f>
        <v>1</v>
      </c>
      <c r="M393" s="162">
        <f>IF(Daten!$V393=17,1,0)</f>
        <v>1</v>
      </c>
      <c r="N393" s="163">
        <f ca="1">IF(Daten!$W393=Sprache!$A$60,1,0)</f>
        <v>0</v>
      </c>
      <c r="O393" s="181">
        <f>IF(AND(Daten!$AK393&lt;=KINVARO!$AW$3,Daten!$AL393&gt;=KINVARO!$AW$3)=TRUE,1,0)</f>
        <v>1</v>
      </c>
      <c r="P393" s="182">
        <f>IF(AND(Daten!$Z393&lt;=KINVARO!$AW$4,Daten!$AA393&gt;=KINVARO!$AW$4)=TRUE,1,0)</f>
        <v>0</v>
      </c>
      <c r="Q393" s="182"/>
      <c r="R393" s="182">
        <f>IF(AND(Daten!$AC393&lt;='Material+Limits'!$I$58,Daten!$AD393&gt;='Material+Limits'!$I$58)=TRUE,1,0)</f>
        <v>0</v>
      </c>
      <c r="S393" s="33">
        <f ca="1">IF(Daten!$X393=Sprache!$A$125,1,0)</f>
        <v>1</v>
      </c>
      <c r="T393" s="35" t="str">
        <f ca="1">Sprache!$A$59</f>
        <v>Podnośnik S-35</v>
      </c>
      <c r="U393" s="37">
        <v>13</v>
      </c>
      <c r="V393" s="33">
        <v>17</v>
      </c>
      <c r="W393" s="34">
        <f ca="1">Sprache!$A$132</f>
        <v>0</v>
      </c>
      <c r="X393" s="34">
        <f ca="1">Sprache!$A$126</f>
        <v>0</v>
      </c>
      <c r="Y393" s="34" t="str">
        <f ca="1">Sprache!$A$69</f>
        <v>Front</v>
      </c>
      <c r="Z393" s="34">
        <v>720</v>
      </c>
      <c r="AA393" s="35">
        <v>750</v>
      </c>
      <c r="AB393" s="34"/>
      <c r="AC393" s="36">
        <v>10</v>
      </c>
      <c r="AD393" s="78">
        <v>17</v>
      </c>
      <c r="AE393" s="34" t="s">
        <v>818</v>
      </c>
      <c r="AF393" s="34" t="str">
        <f ca="1">Sprache!$A$101</f>
        <v>Zestaw (prawy+lewy)</v>
      </c>
      <c r="AG393" s="34" t="s">
        <v>26</v>
      </c>
      <c r="AH393" s="34" t="str">
        <f ca="1">Sprache!$A$114</f>
        <v>Siłownik E</v>
      </c>
      <c r="AI393" s="34" t="str">
        <f ca="1">Sprache!$A$137</f>
        <v>Adapter do ram aluminiowych, do Kinvaro S-35 zest.</v>
      </c>
      <c r="AJ393" s="244" t="s">
        <v>819</v>
      </c>
      <c r="AK393" s="34">
        <v>450</v>
      </c>
      <c r="AL393" s="35">
        <v>1200</v>
      </c>
      <c r="AM393" s="30"/>
      <c r="AN393" s="28"/>
    </row>
    <row r="394" spans="1:48" x14ac:dyDescent="0.25">
      <c r="A394" s="108" t="s">
        <v>199</v>
      </c>
    </row>
    <row r="395" spans="1:48" hidden="1" x14ac:dyDescent="0.25"/>
    <row r="396" spans="1:48" hidden="1" x14ac:dyDescent="0.25">
      <c r="A396">
        <f ca="1">SUM(A2:A393)</f>
        <v>1</v>
      </c>
      <c r="B396">
        <f ca="1">SUM(B2:B393)</f>
        <v>6</v>
      </c>
      <c r="C396" s="79" t="s">
        <v>170</v>
      </c>
      <c r="D396" s="39">
        <f>SUM(D2:D393)</f>
        <v>15</v>
      </c>
      <c r="E396" s="184" t="s">
        <v>172</v>
      </c>
      <c r="V396" s="4"/>
      <c r="Y396" s="4"/>
      <c r="AB396" s="4"/>
      <c r="AC396" s="4"/>
      <c r="AD396" s="40"/>
      <c r="AE396" s="7"/>
      <c r="AF396" s="1"/>
      <c r="AG396" s="1"/>
      <c r="AH396" s="4"/>
      <c r="AI396"/>
      <c r="AJ396"/>
      <c r="AK396" s="11"/>
      <c r="AL396" s="16"/>
      <c r="AN396" s="4"/>
      <c r="AO396" s="16"/>
      <c r="AP396" s="4"/>
      <c r="AR396"/>
      <c r="AS396"/>
      <c r="AT396"/>
      <c r="AU396"/>
      <c r="AV396"/>
    </row>
    <row r="397" spans="1:48" hidden="1" x14ac:dyDescent="0.25"/>
    <row r="398" spans="1:48" hidden="1" x14ac:dyDescent="0.25"/>
    <row r="399" spans="1:48" hidden="1" x14ac:dyDescent="0.25"/>
    <row r="400" spans="1:48" hidden="1" x14ac:dyDescent="0.25"/>
  </sheetData>
  <pageMargins left="0.7" right="0.7" top="0.78740157499999996" bottom="0.78740157499999996" header="0.3" footer="0.3"/>
  <pageSetup paperSize="9" orientation="portrait" horizontalDpi="0" verticalDpi="0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L220"/>
  <sheetViews>
    <sheetView workbookViewId="0">
      <pane xSplit="3" ySplit="3" topLeftCell="K4" activePane="bottomRight" state="frozen"/>
      <selection activeCell="C1" sqref="C1"/>
      <selection pane="topRight" activeCell="D1" sqref="D1"/>
      <selection pane="bottomLeft" activeCell="C4" sqref="C4"/>
      <selection pane="bottomRight" activeCell="C18" sqref="C18"/>
    </sheetView>
  </sheetViews>
  <sheetFormatPr baseColWidth="10" defaultRowHeight="15" x14ac:dyDescent="0.25"/>
  <cols>
    <col min="1" max="1" width="16.85546875" customWidth="1"/>
    <col min="2" max="2" width="3.28515625" customWidth="1"/>
    <col min="3" max="3" width="57.28515625" customWidth="1"/>
    <col min="4" max="8" width="57.7109375" customWidth="1"/>
    <col min="9" max="9" width="71" bestFit="1" customWidth="1"/>
    <col min="10" max="10" width="23" customWidth="1"/>
    <col min="11" max="11" width="15.85546875" customWidth="1"/>
    <col min="12" max="12" width="16.28515625" customWidth="1"/>
  </cols>
  <sheetData>
    <row r="1" spans="1:12" x14ac:dyDescent="0.25">
      <c r="C1" s="108" t="str">
        <f>Daten!A394</f>
        <v>Kinvaro Produktfinder realisiert von SYS33 EDV Dienstleistung im Auftrag von GRASS GmbH Reinheim</v>
      </c>
    </row>
    <row r="2" spans="1:12" x14ac:dyDescent="0.25">
      <c r="A2" t="s">
        <v>49</v>
      </c>
      <c r="B2">
        <v>10</v>
      </c>
    </row>
    <row r="3" spans="1:12" ht="15.75" thickBot="1" x14ac:dyDescent="0.3">
      <c r="C3" s="104" t="s">
        <v>50</v>
      </c>
      <c r="D3" s="104" t="s">
        <v>51</v>
      </c>
      <c r="E3" s="104" t="s">
        <v>120</v>
      </c>
      <c r="F3" s="104" t="s">
        <v>122</v>
      </c>
      <c r="G3" s="104" t="s">
        <v>123</v>
      </c>
      <c r="H3" s="104" t="s">
        <v>121</v>
      </c>
      <c r="I3" s="104" t="s">
        <v>875</v>
      </c>
      <c r="J3" s="104" t="s">
        <v>1093</v>
      </c>
      <c r="K3" s="104" t="s">
        <v>1225</v>
      </c>
      <c r="L3" s="104" t="s">
        <v>1386</v>
      </c>
    </row>
    <row r="4" spans="1:12" x14ac:dyDescent="0.25">
      <c r="A4" t="str">
        <f ca="1">OFFSET(B4,0,$B$2,1,1)</f>
        <v>Język</v>
      </c>
      <c r="C4" s="6" t="s">
        <v>49</v>
      </c>
      <c r="D4" s="6" t="s">
        <v>81</v>
      </c>
      <c r="E4" s="129" t="s">
        <v>577</v>
      </c>
      <c r="F4" s="6" t="s">
        <v>576</v>
      </c>
      <c r="G4" s="6" t="s">
        <v>575</v>
      </c>
      <c r="H4" s="6" t="s">
        <v>574</v>
      </c>
      <c r="I4" s="247" t="s">
        <v>574</v>
      </c>
      <c r="J4" s="256" t="s">
        <v>1094</v>
      </c>
      <c r="K4" s="6" t="s">
        <v>1226</v>
      </c>
      <c r="L4" s="323" t="s">
        <v>1387</v>
      </c>
    </row>
    <row r="5" spans="1:12" x14ac:dyDescent="0.25">
      <c r="A5" t="str">
        <f ca="1">OFFSET(B5,0,$B$2,1,1)</f>
        <v>Niemiecki</v>
      </c>
      <c r="C5" s="13" t="s">
        <v>50</v>
      </c>
      <c r="D5" s="13" t="s">
        <v>1373</v>
      </c>
      <c r="E5" s="130" t="s">
        <v>600</v>
      </c>
      <c r="F5" s="13" t="s">
        <v>592</v>
      </c>
      <c r="G5" s="13" t="s">
        <v>585</v>
      </c>
      <c r="H5" s="13" t="s">
        <v>591</v>
      </c>
      <c r="I5" s="247" t="s">
        <v>876</v>
      </c>
      <c r="J5" s="257" t="s">
        <v>1095</v>
      </c>
      <c r="K5" s="13" t="s">
        <v>1227</v>
      </c>
      <c r="L5" s="325" t="s">
        <v>1388</v>
      </c>
    </row>
    <row r="6" spans="1:12" x14ac:dyDescent="0.25">
      <c r="A6" t="str">
        <f ca="1">OFFSET(B6,0,$B$2,1,1)</f>
        <v>Angielski</v>
      </c>
      <c r="C6" s="13" t="s">
        <v>51</v>
      </c>
      <c r="D6" s="13" t="s">
        <v>1374</v>
      </c>
      <c r="E6" s="130" t="s">
        <v>599</v>
      </c>
      <c r="F6" s="13" t="s">
        <v>593</v>
      </c>
      <c r="G6" s="13" t="s">
        <v>342</v>
      </c>
      <c r="H6" s="13" t="s">
        <v>343</v>
      </c>
      <c r="I6" s="247" t="s">
        <v>877</v>
      </c>
      <c r="J6" s="257" t="s">
        <v>1096</v>
      </c>
      <c r="K6" s="13" t="s">
        <v>1228</v>
      </c>
      <c r="L6" s="325" t="s">
        <v>1389</v>
      </c>
    </row>
    <row r="7" spans="1:12" x14ac:dyDescent="0.25">
      <c r="A7" t="str">
        <f t="shared" ref="A7:A59" ca="1" si="0">OFFSET(B7,0,$B$2,1,1)</f>
        <v>Szwedzki</v>
      </c>
      <c r="C7" s="13" t="s">
        <v>120</v>
      </c>
      <c r="D7" s="13" t="s">
        <v>1375</v>
      </c>
      <c r="E7" s="130" t="s">
        <v>598</v>
      </c>
      <c r="F7" s="13" t="s">
        <v>594</v>
      </c>
      <c r="G7" s="13" t="s">
        <v>586</v>
      </c>
      <c r="H7" s="13" t="s">
        <v>590</v>
      </c>
      <c r="I7" s="247" t="s">
        <v>590</v>
      </c>
      <c r="J7" s="257" t="s">
        <v>1097</v>
      </c>
      <c r="K7" s="13" t="s">
        <v>1229</v>
      </c>
      <c r="L7" s="325" t="s">
        <v>1390</v>
      </c>
    </row>
    <row r="8" spans="1:12" x14ac:dyDescent="0.25">
      <c r="A8" t="str">
        <f ca="1">OFFSET(B8,0,$B$2,1,1)</f>
        <v>Włoski</v>
      </c>
      <c r="C8" s="13" t="s">
        <v>122</v>
      </c>
      <c r="D8" s="13" t="s">
        <v>1376</v>
      </c>
      <c r="E8" s="130" t="s">
        <v>297</v>
      </c>
      <c r="F8" s="13" t="s">
        <v>295</v>
      </c>
      <c r="G8" s="13" t="s">
        <v>587</v>
      </c>
      <c r="H8" s="13" t="s">
        <v>295</v>
      </c>
      <c r="I8" s="247" t="s">
        <v>295</v>
      </c>
      <c r="J8" s="257" t="s">
        <v>1098</v>
      </c>
      <c r="K8" s="13" t="s">
        <v>1230</v>
      </c>
      <c r="L8" s="325" t="s">
        <v>1391</v>
      </c>
    </row>
    <row r="9" spans="1:12" x14ac:dyDescent="0.25">
      <c r="A9" t="str">
        <f ca="1">OFFSET(B9,0,$B$2,1,1)</f>
        <v>Francuski</v>
      </c>
      <c r="C9" s="13" t="s">
        <v>80</v>
      </c>
      <c r="D9" s="13" t="s">
        <v>1377</v>
      </c>
      <c r="E9" s="130" t="s">
        <v>298</v>
      </c>
      <c r="F9" s="13" t="s">
        <v>595</v>
      </c>
      <c r="G9" s="13" t="s">
        <v>294</v>
      </c>
      <c r="H9" s="13" t="s">
        <v>589</v>
      </c>
      <c r="I9" s="247" t="s">
        <v>878</v>
      </c>
      <c r="J9" s="257" t="s">
        <v>1099</v>
      </c>
      <c r="K9" s="13" t="s">
        <v>1231</v>
      </c>
      <c r="L9" s="325" t="s">
        <v>1392</v>
      </c>
    </row>
    <row r="10" spans="1:12" x14ac:dyDescent="0.25">
      <c r="A10" t="str">
        <f t="shared" ca="1" si="0"/>
        <v>Hiszpański</v>
      </c>
      <c r="C10" s="13" t="s">
        <v>121</v>
      </c>
      <c r="D10" s="13" t="s">
        <v>1378</v>
      </c>
      <c r="E10" s="130" t="s">
        <v>597</v>
      </c>
      <c r="F10" s="13" t="s">
        <v>596</v>
      </c>
      <c r="G10" s="13" t="s">
        <v>588</v>
      </c>
      <c r="H10" s="13" t="s">
        <v>296</v>
      </c>
      <c r="I10" s="247" t="s">
        <v>879</v>
      </c>
      <c r="J10" s="257" t="s">
        <v>1100</v>
      </c>
      <c r="K10" s="13" t="s">
        <v>1232</v>
      </c>
      <c r="L10" s="325" t="s">
        <v>1393</v>
      </c>
    </row>
    <row r="11" spans="1:12" x14ac:dyDescent="0.25">
      <c r="A11" t="str">
        <f t="shared" ca="1" si="0"/>
        <v>Portugalski</v>
      </c>
      <c r="C11" s="13" t="s">
        <v>875</v>
      </c>
      <c r="D11" s="13" t="s">
        <v>1022</v>
      </c>
      <c r="E11" s="130" t="s">
        <v>1023</v>
      </c>
      <c r="F11" s="13" t="s">
        <v>1021</v>
      </c>
      <c r="G11" s="13" t="s">
        <v>1020</v>
      </c>
      <c r="H11" s="13" t="s">
        <v>1019</v>
      </c>
      <c r="I11" s="13" t="s">
        <v>1018</v>
      </c>
      <c r="J11" s="257" t="s">
        <v>1101</v>
      </c>
      <c r="K11" s="13" t="s">
        <v>1233</v>
      </c>
      <c r="L11" s="325" t="s">
        <v>1394</v>
      </c>
    </row>
    <row r="12" spans="1:12" x14ac:dyDescent="0.25">
      <c r="A12" t="str">
        <f t="shared" ca="1" si="0"/>
        <v>Turecki</v>
      </c>
      <c r="C12" s="13" t="s">
        <v>1093</v>
      </c>
      <c r="D12" s="13" t="s">
        <v>1223</v>
      </c>
      <c r="E12" s="130" t="s">
        <v>1367</v>
      </c>
      <c r="F12" s="13" t="s">
        <v>1222</v>
      </c>
      <c r="G12" s="13" t="s">
        <v>1224</v>
      </c>
      <c r="H12" s="13" t="s">
        <v>1222</v>
      </c>
      <c r="I12" s="13" t="s">
        <v>1222</v>
      </c>
      <c r="J12" s="257" t="s">
        <v>1102</v>
      </c>
      <c r="K12" s="13" t="s">
        <v>1365</v>
      </c>
      <c r="L12" s="325" t="s">
        <v>1395</v>
      </c>
    </row>
    <row r="13" spans="1:12" x14ac:dyDescent="0.25">
      <c r="A13" t="str">
        <f t="shared" ca="1" si="0"/>
        <v>Chiński</v>
      </c>
      <c r="C13" s="13" t="s">
        <v>1363</v>
      </c>
      <c r="D13" s="13" t="s">
        <v>1364</v>
      </c>
      <c r="E13" s="130" t="s">
        <v>1366</v>
      </c>
      <c r="F13" s="13" t="s">
        <v>1368</v>
      </c>
      <c r="G13" s="13" t="s">
        <v>1369</v>
      </c>
      <c r="H13" s="13" t="s">
        <v>1370</v>
      </c>
      <c r="I13" s="13" t="s">
        <v>1371</v>
      </c>
      <c r="J13" s="257" t="s">
        <v>1372</v>
      </c>
      <c r="K13" s="13" t="s">
        <v>1225</v>
      </c>
      <c r="L13" s="325" t="s">
        <v>1396</v>
      </c>
    </row>
    <row r="14" spans="1:12" s="21" customFormat="1" ht="15.75" thickBot="1" x14ac:dyDescent="0.3">
      <c r="A14" s="21" t="str">
        <f t="shared" ca="1" si="0"/>
        <v>Polski</v>
      </c>
      <c r="C14" s="22" t="s">
        <v>1386</v>
      </c>
      <c r="D14" s="22" t="s">
        <v>1379</v>
      </c>
      <c r="E14" s="231" t="s">
        <v>1385</v>
      </c>
      <c r="F14" s="22" t="s">
        <v>1380</v>
      </c>
      <c r="G14" s="22" t="s">
        <v>1381</v>
      </c>
      <c r="H14" s="22" t="s">
        <v>1382</v>
      </c>
      <c r="I14" s="22" t="s">
        <v>1380</v>
      </c>
      <c r="J14" s="258" t="s">
        <v>1383</v>
      </c>
      <c r="K14" s="22" t="s">
        <v>1384</v>
      </c>
      <c r="L14" s="327" t="s">
        <v>1397</v>
      </c>
    </row>
    <row r="15" spans="1:12" s="111" customFormat="1" x14ac:dyDescent="0.25">
      <c r="A15" s="110" t="str">
        <f t="shared" ca="1" si="0"/>
        <v>Podnośnik do frontów łamanych</v>
      </c>
      <c r="C15" s="112" t="s">
        <v>124</v>
      </c>
      <c r="D15" s="113" t="s">
        <v>129</v>
      </c>
      <c r="E15" s="127" t="s">
        <v>233</v>
      </c>
      <c r="F15" s="113" t="s">
        <v>237</v>
      </c>
      <c r="G15" s="113" t="s">
        <v>252</v>
      </c>
      <c r="H15" s="113" t="s">
        <v>272</v>
      </c>
      <c r="I15" s="113" t="s">
        <v>880</v>
      </c>
      <c r="J15" s="260" t="s">
        <v>1103</v>
      </c>
      <c r="K15" s="113" t="s">
        <v>1234</v>
      </c>
      <c r="L15" s="329" t="s">
        <v>1398</v>
      </c>
    </row>
    <row r="16" spans="1:12" s="125" customFormat="1" x14ac:dyDescent="0.25">
      <c r="A16" s="14" t="str">
        <f t="shared" ca="1" si="0"/>
        <v>http://www.grass.at</v>
      </c>
      <c r="C16" s="126" t="s">
        <v>184</v>
      </c>
      <c r="D16" s="132" t="s">
        <v>187</v>
      </c>
      <c r="E16" s="132" t="s">
        <v>187</v>
      </c>
      <c r="F16" s="132" t="s">
        <v>187</v>
      </c>
      <c r="G16" s="132" t="s">
        <v>187</v>
      </c>
      <c r="H16" s="132" t="s">
        <v>187</v>
      </c>
      <c r="I16" s="248" t="s">
        <v>881</v>
      </c>
      <c r="J16" s="261" t="s">
        <v>184</v>
      </c>
      <c r="K16" s="127" t="s">
        <v>187</v>
      </c>
      <c r="L16" s="326" t="s">
        <v>187</v>
      </c>
    </row>
    <row r="17" spans="1:12" s="111" customFormat="1" x14ac:dyDescent="0.25">
      <c r="A17" s="110" t="str">
        <f ca="1">OFFSET(B17,0,$B$2,1,1)</f>
        <v>F-20</v>
      </c>
      <c r="C17" s="113" t="s">
        <v>125</v>
      </c>
      <c r="D17" s="113" t="s">
        <v>125</v>
      </c>
      <c r="E17" s="127" t="s">
        <v>125</v>
      </c>
      <c r="F17" s="113" t="s">
        <v>125</v>
      </c>
      <c r="G17" s="113" t="s">
        <v>125</v>
      </c>
      <c r="H17" s="113" t="s">
        <v>125</v>
      </c>
      <c r="I17" s="113" t="s">
        <v>125</v>
      </c>
      <c r="J17" s="260" t="s">
        <v>125</v>
      </c>
      <c r="K17" s="113" t="s">
        <v>125</v>
      </c>
      <c r="L17" s="329" t="s">
        <v>125</v>
      </c>
    </row>
    <row r="18" spans="1:12" s="114" customFormat="1" ht="285.75" thickBot="1" x14ac:dyDescent="0.3">
      <c r="A18" s="114" t="str">
        <f t="shared" ca="1" si="0"/>
        <v>• Zastosowanie: do górnych szafek z dzielonym frontem 
• Bardzo delikatny ruch podnoszenia i opuszczania frontu
• Możliwe użycie do frontów bezuchwytowych
• Zintegrowany, regulowalny  hamulec opuszczania frontu</v>
      </c>
      <c r="C18" s="115" t="s">
        <v>126</v>
      </c>
      <c r="D18" s="115" t="s">
        <v>213</v>
      </c>
      <c r="E18" s="232" t="s">
        <v>215</v>
      </c>
      <c r="F18" s="133" t="s">
        <v>236</v>
      </c>
      <c r="G18" s="133" t="s">
        <v>254</v>
      </c>
      <c r="H18" s="133" t="s">
        <v>274</v>
      </c>
      <c r="I18" s="116" t="s">
        <v>882</v>
      </c>
      <c r="J18" s="262" t="s">
        <v>1104</v>
      </c>
      <c r="K18" s="116" t="s">
        <v>1235</v>
      </c>
      <c r="L18" s="334" t="s">
        <v>1399</v>
      </c>
    </row>
    <row r="19" spans="1:12" s="110" customFormat="1" x14ac:dyDescent="0.25">
      <c r="A19" s="110" t="str">
        <f t="shared" ca="1" si="0"/>
        <v>Podnośnik do frontów równoległych</v>
      </c>
      <c r="C19" s="117" t="s">
        <v>119</v>
      </c>
      <c r="D19" s="117" t="s">
        <v>130</v>
      </c>
      <c r="E19" s="129" t="s">
        <v>232</v>
      </c>
      <c r="F19" s="117" t="s">
        <v>238</v>
      </c>
      <c r="G19" s="117" t="s">
        <v>255</v>
      </c>
      <c r="H19" s="117" t="s">
        <v>275</v>
      </c>
      <c r="I19" s="117" t="s">
        <v>883</v>
      </c>
      <c r="J19" s="263" t="s">
        <v>1105</v>
      </c>
      <c r="K19" s="117" t="s">
        <v>1236</v>
      </c>
      <c r="L19" s="333" t="s">
        <v>1400</v>
      </c>
    </row>
    <row r="20" spans="1:12" s="14" customFormat="1" x14ac:dyDescent="0.25">
      <c r="A20" s="14">
        <f t="shared" ca="1" si="0"/>
        <v>0</v>
      </c>
      <c r="C20" s="128" t="s">
        <v>186</v>
      </c>
      <c r="D20" s="128" t="s">
        <v>187</v>
      </c>
      <c r="E20" s="128" t="s">
        <v>187</v>
      </c>
      <c r="F20" s="128" t="s">
        <v>187</v>
      </c>
      <c r="G20" s="128" t="s">
        <v>187</v>
      </c>
      <c r="H20" s="128" t="s">
        <v>187</v>
      </c>
      <c r="I20" s="248" t="s">
        <v>187</v>
      </c>
      <c r="J20" s="264" t="s">
        <v>186</v>
      </c>
      <c r="K20" s="129" t="s">
        <v>187</v>
      </c>
      <c r="L20" s="324"/>
    </row>
    <row r="21" spans="1:12" s="110" customFormat="1" x14ac:dyDescent="0.25">
      <c r="A21" s="110" t="str">
        <f t="shared" ca="1" si="0"/>
        <v>L-80</v>
      </c>
      <c r="C21" s="112" t="s">
        <v>118</v>
      </c>
      <c r="D21" s="112" t="s">
        <v>118</v>
      </c>
      <c r="E21" s="130" t="s">
        <v>118</v>
      </c>
      <c r="F21" s="112" t="s">
        <v>118</v>
      </c>
      <c r="G21" s="112" t="s">
        <v>118</v>
      </c>
      <c r="H21" s="112" t="s">
        <v>118</v>
      </c>
      <c r="I21" s="112" t="s">
        <v>118</v>
      </c>
      <c r="J21" s="259" t="s">
        <v>118</v>
      </c>
      <c r="K21" s="112" t="s">
        <v>118</v>
      </c>
      <c r="L21" s="328" t="s">
        <v>118</v>
      </c>
    </row>
    <row r="22" spans="1:12" s="119" customFormat="1" ht="102.75" customHeight="1" thickBot="1" x14ac:dyDescent="0.3">
      <c r="A22" s="118" t="str">
        <f ca="1">OFFSET(B22,0,$B$2,1,1)</f>
        <v>• Otwiera front w pozycji równoległej do korpusu
• Możliwość zastosowania do zabudowania niszy, by zakryć sprzęt elektryczny  oraz przy stosowaniu listew ozdobnych i dodatkowego oświetlenia
• Niezwykle delikatny ruch podnośnika 
• Wysoka stabilność 
• Zintegrowany, regulowalny  hamulec opuszczania frontu</v>
      </c>
      <c r="C22" s="120" t="s">
        <v>531</v>
      </c>
      <c r="D22" s="120" t="s">
        <v>550</v>
      </c>
      <c r="E22" s="233" t="s">
        <v>551</v>
      </c>
      <c r="F22" s="115" t="s">
        <v>533</v>
      </c>
      <c r="G22" s="115" t="s">
        <v>524</v>
      </c>
      <c r="H22" s="115" t="s">
        <v>277</v>
      </c>
      <c r="I22" s="123" t="s">
        <v>884</v>
      </c>
      <c r="J22" s="265" t="s">
        <v>1106</v>
      </c>
      <c r="K22" s="121" t="s">
        <v>1237</v>
      </c>
      <c r="L22" s="331" t="s">
        <v>1525</v>
      </c>
    </row>
    <row r="23" spans="1:12" s="110" customFormat="1" x14ac:dyDescent="0.25">
      <c r="A23" s="110" t="str">
        <f t="shared" ca="1" si="0"/>
        <v>Podnośnik do frontów zachodzących</v>
      </c>
      <c r="C23" s="122" t="s">
        <v>128</v>
      </c>
      <c r="D23" s="117" t="s">
        <v>131</v>
      </c>
      <c r="E23" s="234" t="s">
        <v>714</v>
      </c>
      <c r="F23" s="117" t="s">
        <v>240</v>
      </c>
      <c r="G23" s="117" t="s">
        <v>257</v>
      </c>
      <c r="H23" s="117" t="s">
        <v>278</v>
      </c>
      <c r="I23" s="117" t="s">
        <v>885</v>
      </c>
      <c r="J23" s="263" t="s">
        <v>1107</v>
      </c>
      <c r="K23" s="117" t="s">
        <v>1238</v>
      </c>
      <c r="L23" s="333" t="s">
        <v>1401</v>
      </c>
    </row>
    <row r="24" spans="1:12" s="14" customFormat="1" x14ac:dyDescent="0.25">
      <c r="A24" s="14" t="str">
        <f t="shared" ca="1" si="0"/>
        <v>http://www.grass.at</v>
      </c>
      <c r="C24" s="105" t="s">
        <v>185</v>
      </c>
      <c r="D24" s="131" t="s">
        <v>187</v>
      </c>
      <c r="E24" s="131" t="s">
        <v>187</v>
      </c>
      <c r="F24" s="131" t="s">
        <v>187</v>
      </c>
      <c r="G24" s="131" t="s">
        <v>187</v>
      </c>
      <c r="H24" s="131" t="s">
        <v>187</v>
      </c>
      <c r="I24" s="131" t="s">
        <v>187</v>
      </c>
      <c r="J24" s="267" t="s">
        <v>185</v>
      </c>
      <c r="K24" s="130" t="s">
        <v>187</v>
      </c>
      <c r="L24" s="326" t="s">
        <v>187</v>
      </c>
    </row>
    <row r="25" spans="1:12" s="110" customFormat="1" x14ac:dyDescent="0.25">
      <c r="A25" s="110" t="str">
        <f t="shared" ca="1" si="0"/>
        <v>S-35</v>
      </c>
      <c r="C25" s="112" t="s">
        <v>127</v>
      </c>
      <c r="D25" s="112" t="s">
        <v>127</v>
      </c>
      <c r="E25" s="130" t="s">
        <v>127</v>
      </c>
      <c r="F25" s="112" t="s">
        <v>127</v>
      </c>
      <c r="G25" s="112" t="s">
        <v>127</v>
      </c>
      <c r="H25" s="112" t="s">
        <v>127</v>
      </c>
      <c r="I25" s="112" t="s">
        <v>127</v>
      </c>
      <c r="J25" s="259" t="s">
        <v>127</v>
      </c>
      <c r="K25" s="112" t="s">
        <v>127</v>
      </c>
      <c r="L25" s="328" t="s">
        <v>127</v>
      </c>
    </row>
    <row r="26" spans="1:12" s="114" customFormat="1" ht="285.75" thickBot="1" x14ac:dyDescent="0.3">
      <c r="A26" s="114" t="str">
        <f t="shared" ca="1" si="0"/>
        <v>• Front zachodzi ponad  korpus
• Możliwość stosowania w szafkach z listwami ozdobnymi oraz dodatkowym oświetleniem
• Niezwykle delikatny ruch podnośnika 
• Wysoka stabilność
• Zintegrowany, regulowalny  hamulec opuszczania frontu</v>
      </c>
      <c r="C26" s="115" t="s">
        <v>532</v>
      </c>
      <c r="D26" s="115" t="s">
        <v>542</v>
      </c>
      <c r="E26" s="233" t="s">
        <v>545</v>
      </c>
      <c r="F26" s="134" t="s">
        <v>241</v>
      </c>
      <c r="G26" s="115" t="s">
        <v>259</v>
      </c>
      <c r="H26" s="115" t="s">
        <v>539</v>
      </c>
      <c r="I26" s="123" t="s">
        <v>886</v>
      </c>
      <c r="J26" s="265" t="s">
        <v>1108</v>
      </c>
      <c r="K26" s="123" t="s">
        <v>1239</v>
      </c>
      <c r="L26" s="334" t="s">
        <v>1402</v>
      </c>
    </row>
    <row r="27" spans="1:12" s="110" customFormat="1" x14ac:dyDescent="0.25">
      <c r="A27" s="110" t="str">
        <f t="shared" ca="1" si="0"/>
        <v>Podnośnik do frontów uchylnych</v>
      </c>
      <c r="C27" s="117" t="s">
        <v>132</v>
      </c>
      <c r="D27" s="117" t="s">
        <v>211</v>
      </c>
      <c r="E27" s="129" t="s">
        <v>231</v>
      </c>
      <c r="F27" s="117" t="s">
        <v>242</v>
      </c>
      <c r="G27" s="117" t="s">
        <v>260</v>
      </c>
      <c r="H27" s="117" t="s">
        <v>280</v>
      </c>
      <c r="I27" s="117" t="s">
        <v>887</v>
      </c>
      <c r="J27" s="263" t="s">
        <v>1109</v>
      </c>
      <c r="K27" s="117" t="s">
        <v>1234</v>
      </c>
      <c r="L27" s="333" t="s">
        <v>1403</v>
      </c>
    </row>
    <row r="28" spans="1:12" s="14" customFormat="1" x14ac:dyDescent="0.25">
      <c r="A28" s="14" t="str">
        <f t="shared" ca="1" si="0"/>
        <v>http://www.grass.at</v>
      </c>
      <c r="C28" s="131" t="s">
        <v>187</v>
      </c>
      <c r="D28" s="131" t="s">
        <v>187</v>
      </c>
      <c r="E28" s="131" t="s">
        <v>187</v>
      </c>
      <c r="F28" s="131" t="s">
        <v>187</v>
      </c>
      <c r="G28" s="131" t="s">
        <v>187</v>
      </c>
      <c r="H28" s="131" t="s">
        <v>187</v>
      </c>
      <c r="I28" s="131" t="s">
        <v>187</v>
      </c>
      <c r="J28" s="268" t="s">
        <v>187</v>
      </c>
      <c r="K28" s="130" t="s">
        <v>187</v>
      </c>
      <c r="L28" s="326" t="s">
        <v>187</v>
      </c>
    </row>
    <row r="29" spans="1:12" s="110" customFormat="1" x14ac:dyDescent="0.25">
      <c r="A29" s="110" t="str">
        <f t="shared" ca="1" si="0"/>
        <v>T-65</v>
      </c>
      <c r="C29" s="112" t="s">
        <v>133</v>
      </c>
      <c r="D29" s="112" t="s">
        <v>133</v>
      </c>
      <c r="E29" s="130" t="s">
        <v>133</v>
      </c>
      <c r="F29" s="112" t="s">
        <v>133</v>
      </c>
      <c r="G29" s="112" t="s">
        <v>133</v>
      </c>
      <c r="H29" s="112" t="s">
        <v>133</v>
      </c>
      <c r="I29" s="112" t="s">
        <v>133</v>
      </c>
      <c r="J29" s="259" t="s">
        <v>133</v>
      </c>
      <c r="K29" s="112" t="s">
        <v>133</v>
      </c>
      <c r="L29" s="328" t="s">
        <v>133</v>
      </c>
    </row>
    <row r="30" spans="1:12" s="114" customFormat="1" ht="93" customHeight="1" thickBot="1" x14ac:dyDescent="0.3">
      <c r="A30" s="114" t="str">
        <f t="shared" ca="1" si="0"/>
        <v>• Nie koliduje z listwami ozdobnymi na wieńcu                      • Front można zatrzymać w dowolnym miejscu pomiędzy kątem otwarcia 45° a 100°                • Idealny do lekkich i średnio ciężkich frontów  • Zintegrowany, regulowalny hamulec opuszczania frontu</v>
      </c>
      <c r="C30" s="115" t="s">
        <v>135</v>
      </c>
      <c r="D30" s="115" t="s">
        <v>549</v>
      </c>
      <c r="E30" s="233" t="s">
        <v>218</v>
      </c>
      <c r="F30" s="115" t="s">
        <v>534</v>
      </c>
      <c r="G30" s="115" t="s">
        <v>525</v>
      </c>
      <c r="H30" s="115" t="s">
        <v>540</v>
      </c>
      <c r="I30" s="123" t="s">
        <v>888</v>
      </c>
      <c r="J30" s="265" t="s">
        <v>1110</v>
      </c>
      <c r="K30" s="123" t="s">
        <v>1240</v>
      </c>
      <c r="L30" s="334" t="s">
        <v>1404</v>
      </c>
    </row>
    <row r="31" spans="1:12" s="110" customFormat="1" x14ac:dyDescent="0.25">
      <c r="A31" s="124" t="str">
        <f t="shared" ca="1" si="0"/>
        <v>T-70</v>
      </c>
      <c r="C31" s="117" t="s">
        <v>134</v>
      </c>
      <c r="D31" s="117" t="s">
        <v>134</v>
      </c>
      <c r="E31" s="129" t="s">
        <v>134</v>
      </c>
      <c r="F31" s="117" t="s">
        <v>134</v>
      </c>
      <c r="G31" s="117" t="s">
        <v>134</v>
      </c>
      <c r="H31" s="117" t="s">
        <v>134</v>
      </c>
      <c r="I31" s="117" t="s">
        <v>134</v>
      </c>
      <c r="J31" s="263" t="s">
        <v>134</v>
      </c>
      <c r="K31" s="117" t="s">
        <v>134</v>
      </c>
      <c r="L31" s="333" t="s">
        <v>134</v>
      </c>
    </row>
    <row r="32" spans="1:12" s="14" customFormat="1" x14ac:dyDescent="0.25">
      <c r="A32" s="14" t="str">
        <f t="shared" ca="1" si="0"/>
        <v>http://www.grass.at</v>
      </c>
      <c r="C32" s="131" t="s">
        <v>187</v>
      </c>
      <c r="D32" s="127" t="s">
        <v>187</v>
      </c>
      <c r="E32" s="127" t="s">
        <v>187</v>
      </c>
      <c r="F32" s="127" t="s">
        <v>187</v>
      </c>
      <c r="G32" s="127" t="s">
        <v>187</v>
      </c>
      <c r="H32" s="127" t="s">
        <v>187</v>
      </c>
      <c r="I32" s="131" t="s">
        <v>187</v>
      </c>
      <c r="J32" s="268" t="s">
        <v>187</v>
      </c>
      <c r="K32" s="127" t="s">
        <v>187</v>
      </c>
      <c r="L32" s="326" t="s">
        <v>187</v>
      </c>
    </row>
    <row r="33" spans="1:12" s="119" customFormat="1" ht="71.25" customHeight="1" thickBot="1" x14ac:dyDescent="0.3">
      <c r="A33" s="114" t="str">
        <f t="shared" ca="1" si="0"/>
        <v>• Nie koliduje z listwami ozdobnymi na wieńcu
• Front można zatrzymać w dowolnym miejscu pomiędzy kątem otwarcia 45° a 110°
• Zintegrowany, regulowalny hamulec opuszczania frontu
• Szeroki zakres zastosowań</v>
      </c>
      <c r="C33" s="115" t="s">
        <v>270</v>
      </c>
      <c r="D33" s="115" t="s">
        <v>548</v>
      </c>
      <c r="E33" s="233" t="s">
        <v>220</v>
      </c>
      <c r="F33" s="115" t="s">
        <v>535</v>
      </c>
      <c r="G33" s="115" t="s">
        <v>526</v>
      </c>
      <c r="H33" s="115" t="s">
        <v>541</v>
      </c>
      <c r="I33" s="123" t="s">
        <v>889</v>
      </c>
      <c r="J33" s="265" t="s">
        <v>1111</v>
      </c>
      <c r="K33" s="121" t="s">
        <v>1241</v>
      </c>
      <c r="L33" s="332" t="s">
        <v>1405</v>
      </c>
    </row>
    <row r="34" spans="1:12" s="110" customFormat="1" x14ac:dyDescent="0.25">
      <c r="A34" s="110" t="str">
        <f t="shared" ca="1" si="0"/>
        <v>T-71</v>
      </c>
      <c r="C34" s="117" t="s">
        <v>136</v>
      </c>
      <c r="D34" s="117" t="s">
        <v>136</v>
      </c>
      <c r="E34" s="129" t="s">
        <v>136</v>
      </c>
      <c r="F34" s="117" t="s">
        <v>136</v>
      </c>
      <c r="G34" s="117" t="s">
        <v>136</v>
      </c>
      <c r="H34" s="117" t="s">
        <v>136</v>
      </c>
      <c r="I34" s="117" t="s">
        <v>136</v>
      </c>
      <c r="J34" s="263"/>
      <c r="K34" s="117" t="s">
        <v>136</v>
      </c>
      <c r="L34" s="333" t="s">
        <v>136</v>
      </c>
    </row>
    <row r="35" spans="1:12" s="14" customFormat="1" x14ac:dyDescent="0.25">
      <c r="A35" s="14" t="str">
        <f t="shared" ref="A35" ca="1" si="1">OFFSET(B35,0,$B$2,1,1)</f>
        <v>http://www.grass.at</v>
      </c>
      <c r="C35" s="131" t="s">
        <v>187</v>
      </c>
      <c r="D35" s="127" t="s">
        <v>187</v>
      </c>
      <c r="E35" s="127" t="s">
        <v>187</v>
      </c>
      <c r="F35" s="127" t="s">
        <v>187</v>
      </c>
      <c r="G35" s="127" t="s">
        <v>187</v>
      </c>
      <c r="H35" s="127" t="s">
        <v>187</v>
      </c>
      <c r="I35" s="131" t="s">
        <v>187</v>
      </c>
      <c r="J35" s="268" t="s">
        <v>187</v>
      </c>
      <c r="K35" s="127" t="s">
        <v>187</v>
      </c>
      <c r="L35" s="326" t="s">
        <v>187</v>
      </c>
    </row>
    <row r="36" spans="1:12" s="114" customFormat="1" ht="96.75" customHeight="1" thickBot="1" x14ac:dyDescent="0.3">
      <c r="A36" s="114" t="str">
        <f t="shared" ca="1" si="0"/>
        <v>• Nie koliduje z listwami ozdobnymi na wieńcu
• Front można zatrzymać w dowolnym miejscu pomiędzy kątem otwarcia 45° a 110°                    
• Bezpośrednia regulacja frontu   • Mechanizm klipsowy                 • Zintegrowany, regulowalny hamulec opuszczania frontu
• Szeroki zakres zastosowań</v>
      </c>
      <c r="C36" s="115" t="s">
        <v>137</v>
      </c>
      <c r="D36" s="115" t="s">
        <v>543</v>
      </c>
      <c r="E36" s="233" t="s">
        <v>715</v>
      </c>
      <c r="F36" s="115" t="s">
        <v>536</v>
      </c>
      <c r="G36" s="115" t="s">
        <v>527</v>
      </c>
      <c r="H36" s="115" t="s">
        <v>287</v>
      </c>
      <c r="I36" s="123" t="s">
        <v>890</v>
      </c>
      <c r="J36" s="265" t="s">
        <v>1112</v>
      </c>
      <c r="K36" s="123" t="s">
        <v>1242</v>
      </c>
      <c r="L36" s="332" t="s">
        <v>1406</v>
      </c>
    </row>
    <row r="37" spans="1:12" s="110" customFormat="1" x14ac:dyDescent="0.25">
      <c r="A37" s="110" t="str">
        <f t="shared" ca="1" si="0"/>
        <v>T-75</v>
      </c>
      <c r="C37" s="117" t="s">
        <v>138</v>
      </c>
      <c r="D37" s="117" t="s">
        <v>138</v>
      </c>
      <c r="E37" s="129" t="s">
        <v>138</v>
      </c>
      <c r="F37" s="117" t="s">
        <v>138</v>
      </c>
      <c r="G37" s="117" t="s">
        <v>138</v>
      </c>
      <c r="H37" s="117" t="s">
        <v>138</v>
      </c>
      <c r="I37" s="117" t="s">
        <v>138</v>
      </c>
      <c r="J37" s="263"/>
      <c r="K37" s="117" t="s">
        <v>138</v>
      </c>
      <c r="L37" s="333" t="s">
        <v>138</v>
      </c>
    </row>
    <row r="38" spans="1:12" s="14" customFormat="1" x14ac:dyDescent="0.25">
      <c r="A38" s="14" t="str">
        <f t="shared" ca="1" si="0"/>
        <v>http://www.grass.at</v>
      </c>
      <c r="C38" s="131" t="s">
        <v>187</v>
      </c>
      <c r="D38" s="127" t="s">
        <v>187</v>
      </c>
      <c r="E38" s="127" t="s">
        <v>187</v>
      </c>
      <c r="F38" s="127" t="s">
        <v>187</v>
      </c>
      <c r="G38" s="127" t="s">
        <v>187</v>
      </c>
      <c r="H38" s="127" t="s">
        <v>187</v>
      </c>
      <c r="I38" s="131" t="s">
        <v>187</v>
      </c>
      <c r="J38" s="268" t="s">
        <v>187</v>
      </c>
      <c r="K38" s="127" t="s">
        <v>187</v>
      </c>
      <c r="L38" s="326" t="s">
        <v>187</v>
      </c>
    </row>
    <row r="39" spans="1:12" s="114" customFormat="1" ht="69.75" customHeight="1" thickBot="1" x14ac:dyDescent="0.3">
      <c r="A39" s="114" t="str">
        <f t="shared" ca="1" si="0"/>
        <v xml:space="preserve">• Nie koliduje z listwami ozdobnymi na wieńcu
• Front można zatrzymać w dowolnym miejscu pomiędzy kątem otwarcia 45° a 100°                    
• Do zastosowania do ciężkich frontów                    • Zintegrowany, regulowalny hamulec opuszczania frontu
</v>
      </c>
      <c r="C39" s="115" t="s">
        <v>139</v>
      </c>
      <c r="D39" s="115" t="s">
        <v>547</v>
      </c>
      <c r="E39" s="233" t="s">
        <v>223</v>
      </c>
      <c r="F39" s="115" t="s">
        <v>271</v>
      </c>
      <c r="G39" s="115" t="s">
        <v>528</v>
      </c>
      <c r="H39" s="115" t="s">
        <v>288</v>
      </c>
      <c r="I39" s="123" t="s">
        <v>891</v>
      </c>
      <c r="J39" s="265" t="s">
        <v>1113</v>
      </c>
      <c r="K39" s="123" t="s">
        <v>1243</v>
      </c>
      <c r="L39" s="332" t="s">
        <v>1407</v>
      </c>
    </row>
    <row r="40" spans="1:12" s="110" customFormat="1" ht="15.75" customHeight="1" x14ac:dyDescent="0.25">
      <c r="A40" s="110" t="str">
        <f t="shared" ca="1" si="0"/>
        <v>T-76</v>
      </c>
      <c r="C40" s="117" t="s">
        <v>140</v>
      </c>
      <c r="D40" s="117" t="s">
        <v>140</v>
      </c>
      <c r="E40" s="129" t="s">
        <v>140</v>
      </c>
      <c r="F40" s="117" t="s">
        <v>140</v>
      </c>
      <c r="G40" s="117" t="s">
        <v>140</v>
      </c>
      <c r="H40" s="117" t="s">
        <v>140</v>
      </c>
      <c r="I40" s="117" t="s">
        <v>140</v>
      </c>
      <c r="J40" s="263" t="s">
        <v>140</v>
      </c>
      <c r="K40" s="117" t="s">
        <v>140</v>
      </c>
      <c r="L40" s="333" t="s">
        <v>140</v>
      </c>
    </row>
    <row r="41" spans="1:12" s="14" customFormat="1" x14ac:dyDescent="0.25">
      <c r="A41" s="14" t="str">
        <f t="shared" ref="A41" ca="1" si="2">OFFSET(B41,0,$B$2,1,1)</f>
        <v>http://www.grass.at</v>
      </c>
      <c r="C41" s="131" t="s">
        <v>187</v>
      </c>
      <c r="D41" s="127" t="s">
        <v>187</v>
      </c>
      <c r="E41" s="127" t="s">
        <v>187</v>
      </c>
      <c r="F41" s="127" t="s">
        <v>187</v>
      </c>
      <c r="G41" s="127" t="s">
        <v>187</v>
      </c>
      <c r="H41" s="127" t="s">
        <v>187</v>
      </c>
      <c r="I41" s="127" t="s">
        <v>187</v>
      </c>
      <c r="J41" s="268" t="s">
        <v>187</v>
      </c>
      <c r="K41" s="127" t="s">
        <v>187</v>
      </c>
      <c r="L41" s="336" t="s">
        <v>187</v>
      </c>
    </row>
    <row r="42" spans="1:12" s="114" customFormat="1" ht="99.75" customHeight="1" thickBot="1" x14ac:dyDescent="0.3">
      <c r="A42" s="114" t="str">
        <f t="shared" ca="1" si="0"/>
        <v xml:space="preserve">• Nie koliduje z listwami ozdobnymi na wieńcu
• Front można zatrzymać w dowolnym miejscu pomiędzy kątem otwarcia 45° a 110°                    
• Bezpośrednia regulacja frontu   • Mechanizm klipsowy                 • Zintegrowany, regulowalny hamulec opuszczania frontu
• Do zastosowania do ciężkich frontów  </v>
      </c>
      <c r="C42" s="115" t="s">
        <v>141</v>
      </c>
      <c r="D42" s="115" t="s">
        <v>546</v>
      </c>
      <c r="E42" s="233" t="s">
        <v>225</v>
      </c>
      <c r="F42" s="115" t="s">
        <v>538</v>
      </c>
      <c r="G42" s="115" t="s">
        <v>530</v>
      </c>
      <c r="H42" s="115" t="s">
        <v>289</v>
      </c>
      <c r="I42" s="123" t="s">
        <v>892</v>
      </c>
      <c r="J42" s="265" t="s">
        <v>1114</v>
      </c>
      <c r="K42" s="123" t="s">
        <v>1244</v>
      </c>
      <c r="L42" s="332" t="s">
        <v>1408</v>
      </c>
    </row>
    <row r="43" spans="1:12" s="110" customFormat="1" x14ac:dyDescent="0.25">
      <c r="A43" s="110" t="str">
        <f t="shared" ca="1" si="0"/>
        <v>T-57</v>
      </c>
      <c r="C43" s="117" t="s">
        <v>142</v>
      </c>
      <c r="D43" s="117" t="s">
        <v>142</v>
      </c>
      <c r="E43" s="129" t="s">
        <v>142</v>
      </c>
      <c r="F43" s="117" t="s">
        <v>142</v>
      </c>
      <c r="G43" s="117" t="s">
        <v>142</v>
      </c>
      <c r="H43" s="117" t="s">
        <v>142</v>
      </c>
      <c r="I43" s="117" t="s">
        <v>142</v>
      </c>
      <c r="J43" s="263" t="s">
        <v>142</v>
      </c>
      <c r="K43" s="117" t="s">
        <v>142</v>
      </c>
      <c r="L43" s="333" t="s">
        <v>142</v>
      </c>
    </row>
    <row r="44" spans="1:12" s="14" customFormat="1" x14ac:dyDescent="0.25">
      <c r="A44" s="14" t="str">
        <f t="shared" ca="1" si="0"/>
        <v>http://www.grass.at</v>
      </c>
      <c r="C44" s="131" t="s">
        <v>187</v>
      </c>
      <c r="D44" s="127" t="s">
        <v>187</v>
      </c>
      <c r="E44" s="127" t="s">
        <v>187</v>
      </c>
      <c r="F44" s="127" t="s">
        <v>187</v>
      </c>
      <c r="G44" s="127" t="s">
        <v>187</v>
      </c>
      <c r="H44" s="127" t="s">
        <v>187</v>
      </c>
      <c r="I44" s="132" t="s">
        <v>881</v>
      </c>
      <c r="J44" s="268" t="s">
        <v>187</v>
      </c>
      <c r="K44" s="127" t="s">
        <v>1245</v>
      </c>
      <c r="L44" s="330" t="s">
        <v>187</v>
      </c>
    </row>
    <row r="45" spans="1:12" s="114" customFormat="1" ht="150.75" thickBot="1" x14ac:dyDescent="0.3">
      <c r="A45" s="114" t="str">
        <f t="shared" ca="1" si="0"/>
        <v>• Nie koliduje z listwami ozdobnymi na wieńcu
• Nastawialny kąt otwarcia 75° lub 90° 
• Do frontów średniej ciężkości</v>
      </c>
      <c r="C45" s="115" t="s">
        <v>143</v>
      </c>
      <c r="D45" s="115" t="s">
        <v>212</v>
      </c>
      <c r="E45" s="233" t="s">
        <v>227</v>
      </c>
      <c r="F45" s="115" t="s">
        <v>249</v>
      </c>
      <c r="G45" s="115" t="s">
        <v>267</v>
      </c>
      <c r="H45" s="115" t="s">
        <v>290</v>
      </c>
      <c r="I45" s="123" t="s">
        <v>893</v>
      </c>
      <c r="J45" s="265" t="s">
        <v>1115</v>
      </c>
      <c r="K45" s="123" t="s">
        <v>1246</v>
      </c>
      <c r="L45" s="332" t="s">
        <v>1409</v>
      </c>
    </row>
    <row r="46" spans="1:12" s="110" customFormat="1" x14ac:dyDescent="0.25">
      <c r="A46" s="110" t="str">
        <f t="shared" ca="1" si="0"/>
        <v>T-105</v>
      </c>
      <c r="C46" s="117" t="s">
        <v>144</v>
      </c>
      <c r="D46" s="117" t="s">
        <v>144</v>
      </c>
      <c r="E46" s="129" t="s">
        <v>144</v>
      </c>
      <c r="F46" s="117" t="s">
        <v>144</v>
      </c>
      <c r="G46" s="117" t="s">
        <v>144</v>
      </c>
      <c r="H46" s="117" t="s">
        <v>144</v>
      </c>
      <c r="I46" s="117" t="s">
        <v>144</v>
      </c>
      <c r="J46" s="263" t="s">
        <v>144</v>
      </c>
      <c r="K46" s="117" t="s">
        <v>144</v>
      </c>
      <c r="L46" s="333" t="s">
        <v>144</v>
      </c>
    </row>
    <row r="47" spans="1:12" s="14" customFormat="1" x14ac:dyDescent="0.25">
      <c r="A47" s="14" t="str">
        <f t="shared" ref="A47" ca="1" si="3">OFFSET(B47,0,$B$2,1,1)</f>
        <v>http://www.grass.at</v>
      </c>
      <c r="C47" s="131" t="s">
        <v>187</v>
      </c>
      <c r="D47" s="127" t="s">
        <v>187</v>
      </c>
      <c r="E47" s="127" t="s">
        <v>187</v>
      </c>
      <c r="F47" s="127" t="s">
        <v>187</v>
      </c>
      <c r="G47" s="127" t="s">
        <v>187</v>
      </c>
      <c r="H47" s="127" t="s">
        <v>187</v>
      </c>
      <c r="I47" s="131" t="s">
        <v>187</v>
      </c>
      <c r="J47" s="268" t="s">
        <v>187</v>
      </c>
      <c r="K47" s="127" t="s">
        <v>1245</v>
      </c>
      <c r="L47" s="326" t="s">
        <v>187</v>
      </c>
    </row>
    <row r="48" spans="1:12" s="110" customFormat="1" x14ac:dyDescent="0.25">
      <c r="A48" s="110" t="str">
        <f t="shared" ca="1" si="0"/>
        <v>Podnośnik nożycowy</v>
      </c>
      <c r="C48" s="112" t="s">
        <v>146</v>
      </c>
      <c r="D48" s="112" t="s">
        <v>210</v>
      </c>
      <c r="E48" s="130" t="s">
        <v>230</v>
      </c>
      <c r="F48" s="112" t="s">
        <v>250</v>
      </c>
      <c r="G48" s="112" t="s">
        <v>268</v>
      </c>
      <c r="H48" s="112" t="s">
        <v>291</v>
      </c>
      <c r="I48" s="249" t="s">
        <v>894</v>
      </c>
      <c r="J48" s="263" t="s">
        <v>1116</v>
      </c>
      <c r="K48" s="112" t="s">
        <v>1247</v>
      </c>
      <c r="L48" s="328" t="s">
        <v>1410</v>
      </c>
    </row>
    <row r="49" spans="1:12" s="114" customFormat="1" ht="66.75" customHeight="1" thickBot="1" x14ac:dyDescent="0.3">
      <c r="A49" s="114" t="str">
        <f t="shared" ca="1" si="0"/>
        <v>• Nie koliduje z listwami ozdobnymi na wieńcu
• Front można zatrzymać w dowolnym miejscu pomiędzy kątem otwarcia 45° a 105°            
• Szeroki zakres zastosowań
• Otwarcie frontu wspomagane mechanizmem sprężynowym</v>
      </c>
      <c r="C49" s="115" t="s">
        <v>145</v>
      </c>
      <c r="D49" s="115" t="s">
        <v>544</v>
      </c>
      <c r="E49" s="233" t="s">
        <v>229</v>
      </c>
      <c r="F49" s="115" t="s">
        <v>537</v>
      </c>
      <c r="G49" s="115" t="s">
        <v>529</v>
      </c>
      <c r="H49" s="115" t="s">
        <v>293</v>
      </c>
      <c r="I49" s="123" t="s">
        <v>895</v>
      </c>
      <c r="J49" s="265" t="s">
        <v>1117</v>
      </c>
      <c r="K49" s="123" t="s">
        <v>1248</v>
      </c>
      <c r="L49" s="332" t="s">
        <v>1411</v>
      </c>
    </row>
    <row r="50" spans="1:12" s="110" customFormat="1" x14ac:dyDescent="0.25">
      <c r="A50" s="110" t="str">
        <f t="shared" ca="1" si="0"/>
        <v>Podnośnik L-80</v>
      </c>
      <c r="C50" s="117" t="s">
        <v>1</v>
      </c>
      <c r="D50" s="117" t="s">
        <v>202</v>
      </c>
      <c r="E50" s="129" t="s">
        <v>716</v>
      </c>
      <c r="F50" s="117" t="s">
        <v>234</v>
      </c>
      <c r="G50" s="117" t="s">
        <v>256</v>
      </c>
      <c r="H50" s="117" t="s">
        <v>276</v>
      </c>
      <c r="I50" s="117" t="s">
        <v>896</v>
      </c>
      <c r="J50" s="263" t="s">
        <v>1118</v>
      </c>
      <c r="K50" s="117" t="s">
        <v>1249</v>
      </c>
      <c r="L50" s="333" t="s">
        <v>1412</v>
      </c>
    </row>
    <row r="51" spans="1:12" s="110" customFormat="1" x14ac:dyDescent="0.25">
      <c r="A51" s="110" t="str">
        <f t="shared" ca="1" si="0"/>
        <v xml:space="preserve">Podnośnik F-20 </v>
      </c>
      <c r="C51" s="112" t="s">
        <v>7</v>
      </c>
      <c r="D51" s="112" t="s">
        <v>201</v>
      </c>
      <c r="E51" s="130" t="s">
        <v>214</v>
      </c>
      <c r="F51" s="112" t="s">
        <v>235</v>
      </c>
      <c r="G51" s="112" t="s">
        <v>253</v>
      </c>
      <c r="H51" s="112" t="s">
        <v>273</v>
      </c>
      <c r="I51" s="112" t="s">
        <v>897</v>
      </c>
      <c r="J51" s="259" t="s">
        <v>1119</v>
      </c>
      <c r="K51" s="112" t="s">
        <v>1250</v>
      </c>
      <c r="L51" s="328" t="s">
        <v>1413</v>
      </c>
    </row>
    <row r="52" spans="1:12" s="110" customFormat="1" x14ac:dyDescent="0.25">
      <c r="A52" s="110" t="str">
        <f t="shared" ca="1" si="0"/>
        <v>Podnośnik T-105</v>
      </c>
      <c r="C52" s="112" t="s">
        <v>11</v>
      </c>
      <c r="D52" s="112" t="s">
        <v>209</v>
      </c>
      <c r="E52" s="130" t="s">
        <v>228</v>
      </c>
      <c r="F52" s="112" t="s">
        <v>251</v>
      </c>
      <c r="G52" s="112" t="s">
        <v>269</v>
      </c>
      <c r="H52" s="112" t="s">
        <v>292</v>
      </c>
      <c r="I52" s="249" t="s">
        <v>898</v>
      </c>
      <c r="J52" s="263" t="s">
        <v>1120</v>
      </c>
      <c r="K52" s="112" t="s">
        <v>1251</v>
      </c>
      <c r="L52" s="328" t="s">
        <v>1414</v>
      </c>
    </row>
    <row r="53" spans="1:12" s="110" customFormat="1" x14ac:dyDescent="0.25">
      <c r="A53" s="110" t="str">
        <f t="shared" ca="1" si="0"/>
        <v>Podnośnik T-57</v>
      </c>
      <c r="C53" s="112" t="s">
        <v>28</v>
      </c>
      <c r="D53" s="112" t="s">
        <v>208</v>
      </c>
      <c r="E53" s="130" t="s">
        <v>226</v>
      </c>
      <c r="F53" s="112" t="s">
        <v>248</v>
      </c>
      <c r="G53" s="112" t="s">
        <v>266</v>
      </c>
      <c r="H53" s="112" t="s">
        <v>286</v>
      </c>
      <c r="I53" s="112" t="s">
        <v>899</v>
      </c>
      <c r="J53" s="259" t="s">
        <v>1121</v>
      </c>
      <c r="K53" s="112" t="s">
        <v>1252</v>
      </c>
      <c r="L53" s="328" t="s">
        <v>1415</v>
      </c>
    </row>
    <row r="54" spans="1:12" s="110" customFormat="1" x14ac:dyDescent="0.25">
      <c r="A54" s="110" t="str">
        <f t="shared" ca="1" si="0"/>
        <v>Podnośnik T-76</v>
      </c>
      <c r="C54" s="112" t="s">
        <v>30</v>
      </c>
      <c r="D54" s="112" t="s">
        <v>207</v>
      </c>
      <c r="E54" s="130" t="s">
        <v>224</v>
      </c>
      <c r="F54" s="112" t="s">
        <v>247</v>
      </c>
      <c r="G54" s="112" t="s">
        <v>265</v>
      </c>
      <c r="H54" s="112" t="s">
        <v>285</v>
      </c>
      <c r="I54" s="112" t="s">
        <v>900</v>
      </c>
      <c r="J54" s="259" t="s">
        <v>1122</v>
      </c>
      <c r="K54" s="112" t="s">
        <v>1253</v>
      </c>
      <c r="L54" s="328" t="s">
        <v>1416</v>
      </c>
    </row>
    <row r="55" spans="1:12" s="110" customFormat="1" x14ac:dyDescent="0.25">
      <c r="A55" s="110" t="str">
        <f t="shared" ca="1" si="0"/>
        <v xml:space="preserve">Podnośnik T-75 </v>
      </c>
      <c r="C55" s="112" t="s">
        <v>33</v>
      </c>
      <c r="D55" s="112" t="s">
        <v>206</v>
      </c>
      <c r="E55" s="130" t="s">
        <v>222</v>
      </c>
      <c r="F55" s="112" t="s">
        <v>246</v>
      </c>
      <c r="G55" s="112" t="s">
        <v>264</v>
      </c>
      <c r="H55" s="112" t="s">
        <v>284</v>
      </c>
      <c r="I55" s="112" t="s">
        <v>901</v>
      </c>
      <c r="J55" s="259" t="s">
        <v>1123</v>
      </c>
      <c r="K55" s="112" t="s">
        <v>1254</v>
      </c>
      <c r="L55" s="328" t="s">
        <v>1417</v>
      </c>
    </row>
    <row r="56" spans="1:12" s="110" customFormat="1" x14ac:dyDescent="0.25">
      <c r="A56" s="110" t="str">
        <f t="shared" ca="1" si="0"/>
        <v>Podnośnik T-71</v>
      </c>
      <c r="C56" s="112" t="s">
        <v>34</v>
      </c>
      <c r="D56" s="112" t="s">
        <v>203</v>
      </c>
      <c r="E56" s="130" t="s">
        <v>221</v>
      </c>
      <c r="F56" s="112" t="s">
        <v>245</v>
      </c>
      <c r="G56" s="112" t="s">
        <v>263</v>
      </c>
      <c r="H56" s="112" t="s">
        <v>283</v>
      </c>
      <c r="I56" s="112" t="s">
        <v>902</v>
      </c>
      <c r="J56" s="259" t="s">
        <v>1124</v>
      </c>
      <c r="K56" s="112" t="s">
        <v>1255</v>
      </c>
      <c r="L56" s="328" t="s">
        <v>1418</v>
      </c>
    </row>
    <row r="57" spans="1:12" s="110" customFormat="1" x14ac:dyDescent="0.25">
      <c r="A57" s="110" t="str">
        <f t="shared" ca="1" si="0"/>
        <v>Podnośnik T-70</v>
      </c>
      <c r="C57" s="112" t="s">
        <v>36</v>
      </c>
      <c r="D57" s="112" t="s">
        <v>204</v>
      </c>
      <c r="E57" s="130" t="s">
        <v>219</v>
      </c>
      <c r="F57" s="112" t="s">
        <v>244</v>
      </c>
      <c r="G57" s="112" t="s">
        <v>262</v>
      </c>
      <c r="H57" s="112" t="s">
        <v>282</v>
      </c>
      <c r="I57" s="112" t="s">
        <v>903</v>
      </c>
      <c r="J57" s="259" t="s">
        <v>1125</v>
      </c>
      <c r="K57" s="112" t="s">
        <v>1256</v>
      </c>
      <c r="L57" s="328" t="s">
        <v>1419</v>
      </c>
    </row>
    <row r="58" spans="1:12" s="110" customFormat="1" x14ac:dyDescent="0.25">
      <c r="A58" s="110" t="str">
        <f t="shared" ca="1" si="0"/>
        <v>Podnośnik T-65</v>
      </c>
      <c r="C58" s="112" t="s">
        <v>39</v>
      </c>
      <c r="D58" s="112" t="s">
        <v>200</v>
      </c>
      <c r="E58" s="130" t="s">
        <v>217</v>
      </c>
      <c r="F58" s="112" t="s">
        <v>243</v>
      </c>
      <c r="G58" s="112" t="s">
        <v>261</v>
      </c>
      <c r="H58" s="112" t="s">
        <v>281</v>
      </c>
      <c r="I58" s="112" t="s">
        <v>904</v>
      </c>
      <c r="J58" s="259" t="s">
        <v>1126</v>
      </c>
      <c r="K58" s="112" t="s">
        <v>1257</v>
      </c>
      <c r="L58" s="328" t="s">
        <v>1420</v>
      </c>
    </row>
    <row r="59" spans="1:12" s="119" customFormat="1" ht="15.75" thickBot="1" x14ac:dyDescent="0.3">
      <c r="A59" s="119" t="str">
        <f t="shared" ca="1" si="0"/>
        <v>Podnośnik S-35</v>
      </c>
      <c r="C59" s="121" t="s">
        <v>41</v>
      </c>
      <c r="D59" s="121" t="s">
        <v>205</v>
      </c>
      <c r="E59" s="231" t="s">
        <v>216</v>
      </c>
      <c r="F59" s="121" t="s">
        <v>239</v>
      </c>
      <c r="G59" s="121" t="s">
        <v>258</v>
      </c>
      <c r="H59" s="121" t="s">
        <v>279</v>
      </c>
      <c r="I59" s="121" t="s">
        <v>905</v>
      </c>
      <c r="J59" s="266" t="s">
        <v>1127</v>
      </c>
      <c r="K59" s="121" t="s">
        <v>1258</v>
      </c>
      <c r="L59" s="335" t="s">
        <v>1421</v>
      </c>
    </row>
    <row r="60" spans="1:12" x14ac:dyDescent="0.25">
      <c r="A60" t="str">
        <f ca="1">OFFSET(B60,0,$B$2,1,1)</f>
        <v>Front lity (drewno/płyta)</v>
      </c>
      <c r="C60" s="6" t="s">
        <v>22</v>
      </c>
      <c r="D60" s="6" t="s">
        <v>95</v>
      </c>
      <c r="E60" s="129" t="s">
        <v>299</v>
      </c>
      <c r="F60" s="6" t="s">
        <v>344</v>
      </c>
      <c r="G60" s="6" t="s">
        <v>345</v>
      </c>
      <c r="H60" s="6" t="s">
        <v>346</v>
      </c>
      <c r="I60" s="250" t="s">
        <v>906</v>
      </c>
      <c r="J60" s="256" t="s">
        <v>1128</v>
      </c>
      <c r="K60" s="6" t="s">
        <v>1259</v>
      </c>
      <c r="L60" s="323" t="s">
        <v>1422</v>
      </c>
    </row>
    <row r="61" spans="1:12" x14ac:dyDescent="0.25">
      <c r="A61" t="str">
        <f ca="1">OFFSET(B61,0,$B$2,1,1)</f>
        <v>Rama alum. 19 mm</v>
      </c>
      <c r="C61" s="6" t="s">
        <v>147</v>
      </c>
      <c r="D61" s="6" t="s">
        <v>189</v>
      </c>
      <c r="E61" s="129" t="s">
        <v>300</v>
      </c>
      <c r="F61" s="6" t="s">
        <v>347</v>
      </c>
      <c r="G61" s="6" t="s">
        <v>348</v>
      </c>
      <c r="H61" s="6" t="s">
        <v>349</v>
      </c>
      <c r="I61" s="6" t="s">
        <v>907</v>
      </c>
      <c r="J61" s="256" t="s">
        <v>1129</v>
      </c>
      <c r="K61" s="6" t="s">
        <v>1260</v>
      </c>
      <c r="L61" s="323" t="s">
        <v>1423</v>
      </c>
    </row>
    <row r="62" spans="1:12" x14ac:dyDescent="0.25">
      <c r="A62" t="str">
        <f ca="1">OFFSET(B62,0,$B$2,1,1)</f>
        <v>Wykonanie</v>
      </c>
      <c r="C62" s="13" t="s">
        <v>21</v>
      </c>
      <c r="D62" s="13" t="s">
        <v>190</v>
      </c>
      <c r="E62" s="130" t="s">
        <v>301</v>
      </c>
      <c r="F62" s="13" t="s">
        <v>350</v>
      </c>
      <c r="G62" s="13" t="s">
        <v>351</v>
      </c>
      <c r="H62" s="13" t="s">
        <v>352</v>
      </c>
      <c r="I62" s="13" t="s">
        <v>908</v>
      </c>
      <c r="J62" s="257" t="s">
        <v>1130</v>
      </c>
      <c r="K62" s="13" t="s">
        <v>1261</v>
      </c>
      <c r="L62" s="325" t="s">
        <v>1424</v>
      </c>
    </row>
    <row r="63" spans="1:12" x14ac:dyDescent="0.25">
      <c r="A63" t="str">
        <f t="shared" ref="A63:A114" ca="1" si="4">OFFSET(B63,0,$B$2,1,1)</f>
        <v>Nachodz. frontu mm</v>
      </c>
      <c r="C63" s="13" t="s">
        <v>148</v>
      </c>
      <c r="D63" s="13" t="s">
        <v>188</v>
      </c>
      <c r="E63" s="235" t="s">
        <v>717</v>
      </c>
      <c r="F63" s="13" t="s">
        <v>353</v>
      </c>
      <c r="G63" s="13" t="s">
        <v>354</v>
      </c>
      <c r="H63" s="13" t="s">
        <v>355</v>
      </c>
      <c r="I63" s="251" t="s">
        <v>909</v>
      </c>
      <c r="J63" s="257" t="s">
        <v>1131</v>
      </c>
      <c r="K63" s="13" t="s">
        <v>1262</v>
      </c>
      <c r="L63" s="325" t="s">
        <v>1526</v>
      </c>
    </row>
    <row r="64" spans="1:12" hidden="1" x14ac:dyDescent="0.25">
      <c r="A64">
        <f ca="1">OFFSET(B64,0,$B$2,1,1)</f>
        <v>0</v>
      </c>
      <c r="C64" s="13" t="s">
        <v>19</v>
      </c>
      <c r="D64" s="13" t="s">
        <v>19</v>
      </c>
      <c r="E64" s="130"/>
      <c r="F64" s="13"/>
      <c r="G64" s="13"/>
      <c r="H64" s="13"/>
      <c r="I64" s="13" t="s">
        <v>910</v>
      </c>
      <c r="J64" s="257"/>
      <c r="K64" s="13"/>
      <c r="L64" s="325"/>
    </row>
    <row r="65" spans="1:12" s="137" customFormat="1" x14ac:dyDescent="0.25">
      <c r="A65" s="137">
        <f t="shared" ca="1" si="4"/>
        <v>13</v>
      </c>
      <c r="C65" s="138">
        <v>13</v>
      </c>
      <c r="D65" s="138">
        <v>13</v>
      </c>
      <c r="E65" s="236">
        <v>13</v>
      </c>
      <c r="F65" s="138">
        <v>13</v>
      </c>
      <c r="G65" s="138">
        <v>13</v>
      </c>
      <c r="H65" s="138">
        <v>13</v>
      </c>
      <c r="I65" s="137">
        <v>13</v>
      </c>
      <c r="J65" s="269">
        <v>13</v>
      </c>
      <c r="K65" s="138">
        <v>13</v>
      </c>
      <c r="L65" s="337">
        <v>13</v>
      </c>
    </row>
    <row r="66" spans="1:12" s="137" customFormat="1" x14ac:dyDescent="0.25">
      <c r="A66" s="137">
        <f t="shared" ca="1" si="4"/>
        <v>14</v>
      </c>
      <c r="C66" s="138">
        <v>14</v>
      </c>
      <c r="D66" s="138">
        <v>14</v>
      </c>
      <c r="E66" s="236">
        <v>14</v>
      </c>
      <c r="F66" s="138">
        <v>14</v>
      </c>
      <c r="G66" s="138">
        <v>14</v>
      </c>
      <c r="H66" s="138">
        <v>14</v>
      </c>
      <c r="I66" s="138" t="s">
        <v>911</v>
      </c>
      <c r="J66" s="269">
        <v>14</v>
      </c>
      <c r="K66" s="138">
        <v>14</v>
      </c>
      <c r="L66" s="337">
        <v>14</v>
      </c>
    </row>
    <row r="67" spans="1:12" s="137" customFormat="1" x14ac:dyDescent="0.25">
      <c r="A67" s="137">
        <f t="shared" ca="1" si="4"/>
        <v>16</v>
      </c>
      <c r="C67" s="138">
        <v>16</v>
      </c>
      <c r="D67" s="138">
        <v>16</v>
      </c>
      <c r="E67" s="236">
        <v>16</v>
      </c>
      <c r="F67" s="138">
        <v>16</v>
      </c>
      <c r="G67" s="138">
        <v>16</v>
      </c>
      <c r="H67" s="138">
        <v>16</v>
      </c>
      <c r="I67" s="138" t="s">
        <v>912</v>
      </c>
      <c r="J67" s="269">
        <v>16</v>
      </c>
      <c r="K67" s="138">
        <v>16</v>
      </c>
      <c r="L67" s="337">
        <v>16</v>
      </c>
    </row>
    <row r="68" spans="1:12" s="137" customFormat="1" x14ac:dyDescent="0.25">
      <c r="A68" s="137">
        <f t="shared" ca="1" si="4"/>
        <v>17</v>
      </c>
      <c r="C68" s="138">
        <v>17</v>
      </c>
      <c r="D68" s="138">
        <v>17</v>
      </c>
      <c r="E68" s="236">
        <v>17</v>
      </c>
      <c r="F68" s="138">
        <v>17</v>
      </c>
      <c r="G68" s="138">
        <v>17</v>
      </c>
      <c r="H68" s="138">
        <v>17</v>
      </c>
      <c r="I68" s="138" t="s">
        <v>913</v>
      </c>
      <c r="J68" s="269">
        <v>17</v>
      </c>
      <c r="K68" s="138">
        <v>17</v>
      </c>
      <c r="L68" s="337">
        <v>17</v>
      </c>
    </row>
    <row r="69" spans="1:12" x14ac:dyDescent="0.25">
      <c r="A69" t="str">
        <f ca="1">OFFSET(B69,0,$B$2,1,1)</f>
        <v>Front</v>
      </c>
      <c r="C69" s="13" t="s">
        <v>14</v>
      </c>
      <c r="D69" s="13" t="s">
        <v>98</v>
      </c>
      <c r="E69" s="235" t="s">
        <v>718</v>
      </c>
      <c r="F69" s="13" t="s">
        <v>356</v>
      </c>
      <c r="G69" s="13" t="s">
        <v>356</v>
      </c>
      <c r="H69" s="13" t="s">
        <v>356</v>
      </c>
      <c r="I69" s="138" t="s">
        <v>914</v>
      </c>
      <c r="J69" s="257" t="s">
        <v>1132</v>
      </c>
      <c r="K69" s="13" t="s">
        <v>1263</v>
      </c>
      <c r="L69" s="325" t="s">
        <v>1425</v>
      </c>
    </row>
    <row r="70" spans="1:12" x14ac:dyDescent="0.25">
      <c r="A70" t="str">
        <f t="shared" ca="1" si="4"/>
        <v>Uchwyt</v>
      </c>
      <c r="C70" s="13" t="s">
        <v>102</v>
      </c>
      <c r="D70" s="13" t="s">
        <v>103</v>
      </c>
      <c r="E70" s="130" t="s">
        <v>555</v>
      </c>
      <c r="F70" s="13" t="s">
        <v>552</v>
      </c>
      <c r="G70" s="13" t="s">
        <v>553</v>
      </c>
      <c r="H70" s="13" t="s">
        <v>554</v>
      </c>
      <c r="I70" s="13" t="s">
        <v>915</v>
      </c>
      <c r="J70" s="257" t="s">
        <v>1133</v>
      </c>
      <c r="K70" s="13" t="s">
        <v>1264</v>
      </c>
      <c r="L70" s="325" t="s">
        <v>1426</v>
      </c>
    </row>
    <row r="71" spans="1:12" x14ac:dyDescent="0.25">
      <c r="A71" t="str">
        <f t="shared" ca="1" si="4"/>
        <v>Długość</v>
      </c>
      <c r="C71" s="13" t="s">
        <v>153</v>
      </c>
      <c r="D71" s="13" t="s">
        <v>191</v>
      </c>
      <c r="E71" s="130" t="s">
        <v>556</v>
      </c>
      <c r="F71" s="13" t="s">
        <v>557</v>
      </c>
      <c r="G71" s="13" t="s">
        <v>558</v>
      </c>
      <c r="H71" s="13" t="s">
        <v>559</v>
      </c>
      <c r="I71" s="13" t="s">
        <v>916</v>
      </c>
      <c r="J71" s="257" t="s">
        <v>1134</v>
      </c>
      <c r="K71" s="13" t="s">
        <v>1265</v>
      </c>
      <c r="L71" s="325" t="s">
        <v>1427</v>
      </c>
    </row>
    <row r="72" spans="1:12" x14ac:dyDescent="0.25">
      <c r="A72" t="str">
        <f t="shared" ref="A72:A96" ca="1" si="5">OFFSET(B72,0,$B$2,1,1)</f>
        <v>Szerokość</v>
      </c>
      <c r="C72" s="13" t="s">
        <v>60</v>
      </c>
      <c r="D72" s="13" t="s">
        <v>82</v>
      </c>
      <c r="E72" s="130" t="s">
        <v>568</v>
      </c>
      <c r="F72" s="13" t="s">
        <v>570</v>
      </c>
      <c r="G72" s="13" t="s">
        <v>560</v>
      </c>
      <c r="H72" s="13" t="s">
        <v>567</v>
      </c>
      <c r="I72" s="13" t="s">
        <v>917</v>
      </c>
      <c r="J72" s="257" t="s">
        <v>1135</v>
      </c>
      <c r="K72" s="13" t="s">
        <v>1266</v>
      </c>
      <c r="L72" s="325" t="s">
        <v>1428</v>
      </c>
    </row>
    <row r="73" spans="1:12" x14ac:dyDescent="0.25">
      <c r="A73" t="str">
        <f t="shared" ca="1" si="5"/>
        <v>Wysokość</v>
      </c>
      <c r="C73" s="13" t="s">
        <v>12</v>
      </c>
      <c r="D73" s="13" t="s">
        <v>83</v>
      </c>
      <c r="E73" s="130" t="s">
        <v>719</v>
      </c>
      <c r="F73" s="13" t="s">
        <v>569</v>
      </c>
      <c r="G73" s="13" t="s">
        <v>561</v>
      </c>
      <c r="H73" s="13" t="s">
        <v>566</v>
      </c>
      <c r="I73" s="13" t="s">
        <v>918</v>
      </c>
      <c r="J73" s="257" t="s">
        <v>1136</v>
      </c>
      <c r="K73" s="13" t="s">
        <v>1267</v>
      </c>
      <c r="L73" s="325" t="s">
        <v>1429</v>
      </c>
    </row>
    <row r="74" spans="1:12" x14ac:dyDescent="0.25">
      <c r="A74" t="str">
        <f t="shared" ca="1" si="5"/>
        <v>Grubość</v>
      </c>
      <c r="C74" s="13" t="s">
        <v>70</v>
      </c>
      <c r="D74" s="13" t="s">
        <v>872</v>
      </c>
      <c r="E74" s="130" t="s">
        <v>871</v>
      </c>
      <c r="F74" s="13" t="s">
        <v>873</v>
      </c>
      <c r="G74" s="13" t="s">
        <v>562</v>
      </c>
      <c r="H74" s="13" t="s">
        <v>565</v>
      </c>
      <c r="I74" s="13" t="s">
        <v>919</v>
      </c>
      <c r="J74" s="257" t="s">
        <v>1137</v>
      </c>
      <c r="K74" s="13" t="s">
        <v>1268</v>
      </c>
      <c r="L74" s="325" t="s">
        <v>1430</v>
      </c>
    </row>
    <row r="75" spans="1:12" s="21" customFormat="1" ht="15.75" thickBot="1" x14ac:dyDescent="0.3">
      <c r="A75" s="21" t="str">
        <f ca="1">OFFSET(B75,0,$B$2,1,1)</f>
        <v>Materiał</v>
      </c>
      <c r="C75" s="22" t="s">
        <v>62</v>
      </c>
      <c r="D75" s="22" t="s">
        <v>85</v>
      </c>
      <c r="E75" s="231" t="s">
        <v>85</v>
      </c>
      <c r="F75" s="22" t="s">
        <v>572</v>
      </c>
      <c r="G75" s="22" t="s">
        <v>571</v>
      </c>
      <c r="H75" s="22" t="s">
        <v>62</v>
      </c>
      <c r="I75" s="22" t="s">
        <v>920</v>
      </c>
      <c r="J75" s="258" t="s">
        <v>1138</v>
      </c>
      <c r="K75" s="22" t="s">
        <v>1269</v>
      </c>
      <c r="L75" s="327" t="s">
        <v>1431</v>
      </c>
    </row>
    <row r="76" spans="1:12" x14ac:dyDescent="0.25">
      <c r="A76" t="str">
        <f t="shared" ca="1" si="5"/>
        <v>Ciężar</v>
      </c>
      <c r="C76" s="13" t="s">
        <v>63</v>
      </c>
      <c r="D76" s="13" t="s">
        <v>84</v>
      </c>
      <c r="E76" s="130" t="s">
        <v>720</v>
      </c>
      <c r="F76" s="13" t="s">
        <v>564</v>
      </c>
      <c r="G76" s="13" t="s">
        <v>563</v>
      </c>
      <c r="H76" s="13" t="s">
        <v>564</v>
      </c>
      <c r="I76" s="13" t="s">
        <v>564</v>
      </c>
      <c r="J76" s="257" t="s">
        <v>1139</v>
      </c>
      <c r="K76" s="13" t="s">
        <v>1270</v>
      </c>
      <c r="L76" s="325" t="s">
        <v>1432</v>
      </c>
    </row>
    <row r="77" spans="1:12" s="135" customFormat="1" x14ac:dyDescent="0.25">
      <c r="A77" s="135" t="str">
        <f t="shared" ca="1" si="5"/>
        <v>Wybrany podnośnik nie obsługuje frontów o zadanych wymiarach</v>
      </c>
      <c r="C77" s="136" t="s">
        <v>154</v>
      </c>
      <c r="D77" s="136" t="s">
        <v>334</v>
      </c>
      <c r="E77" s="237" t="s">
        <v>721</v>
      </c>
      <c r="F77" s="136" t="s">
        <v>336</v>
      </c>
      <c r="G77" s="136" t="s">
        <v>338</v>
      </c>
      <c r="H77" s="136" t="s">
        <v>337</v>
      </c>
      <c r="I77" s="136" t="s">
        <v>921</v>
      </c>
      <c r="J77" s="270" t="s">
        <v>1140</v>
      </c>
      <c r="K77" s="136" t="s">
        <v>1271</v>
      </c>
      <c r="L77" s="338" t="s">
        <v>1433</v>
      </c>
    </row>
    <row r="78" spans="1:12" s="135" customFormat="1" x14ac:dyDescent="0.25">
      <c r="A78" s="135" t="str">
        <f t="shared" ca="1" si="5"/>
        <v>Wybrany podnośnik nie obsługuje frontów o zadanym ciężarze</v>
      </c>
      <c r="C78" s="136" t="s">
        <v>155</v>
      </c>
      <c r="D78" s="136" t="s">
        <v>335</v>
      </c>
      <c r="E78" s="237" t="s">
        <v>722</v>
      </c>
      <c r="F78" s="136" t="s">
        <v>340</v>
      </c>
      <c r="G78" s="136" t="s">
        <v>339</v>
      </c>
      <c r="H78" s="136" t="s">
        <v>341</v>
      </c>
      <c r="I78" s="136" t="s">
        <v>922</v>
      </c>
      <c r="J78" s="270" t="s">
        <v>1141</v>
      </c>
      <c r="K78" s="136" t="s">
        <v>1272</v>
      </c>
      <c r="L78" s="338" t="s">
        <v>1434</v>
      </c>
    </row>
    <row r="79" spans="1:12" s="135" customFormat="1" ht="165" x14ac:dyDescent="0.25">
      <c r="A79" s="135" t="str">
        <f t="shared" ca="1" si="5"/>
        <v>* Przyjęty ciężar odpowiada średnim wartościom. 
  Faktyczne wartości mogą odbiegać od przyjętych. 
   Zalecamy wykonanie próby.</v>
      </c>
      <c r="C79" s="190" t="s">
        <v>694</v>
      </c>
      <c r="D79" s="190" t="s">
        <v>695</v>
      </c>
      <c r="E79" s="238" t="s">
        <v>723</v>
      </c>
      <c r="F79" s="190" t="s">
        <v>696</v>
      </c>
      <c r="G79" s="190" t="s">
        <v>697</v>
      </c>
      <c r="H79" s="190" t="s">
        <v>698</v>
      </c>
      <c r="I79" s="190" t="s">
        <v>923</v>
      </c>
      <c r="J79" s="271" t="s">
        <v>1142</v>
      </c>
      <c r="K79" s="136" t="s">
        <v>1273</v>
      </c>
      <c r="L79" s="339" t="s">
        <v>1435</v>
      </c>
    </row>
    <row r="80" spans="1:12" s="4" customFormat="1" x14ac:dyDescent="0.25">
      <c r="A80" t="str">
        <f t="shared" ca="1" si="5"/>
        <v>Rozwiązania z</v>
      </c>
      <c r="C80" s="3" t="s">
        <v>176</v>
      </c>
      <c r="D80" s="3" t="s">
        <v>192</v>
      </c>
      <c r="E80" s="127" t="s">
        <v>302</v>
      </c>
      <c r="F80" s="3" t="s">
        <v>357</v>
      </c>
      <c r="G80" s="3" t="s">
        <v>358</v>
      </c>
      <c r="H80" s="3" t="s">
        <v>359</v>
      </c>
      <c r="I80" s="3" t="s">
        <v>924</v>
      </c>
      <c r="J80" s="272" t="s">
        <v>1143</v>
      </c>
      <c r="K80" s="3" t="s">
        <v>1274</v>
      </c>
      <c r="L80" s="340" t="s">
        <v>1436</v>
      </c>
    </row>
    <row r="81" spans="1:12" s="4" customFormat="1" x14ac:dyDescent="0.25">
      <c r="A81" t="str">
        <f t="shared" ca="1" si="5"/>
        <v>Rozwiązanie z</v>
      </c>
      <c r="C81" s="3" t="s">
        <v>197</v>
      </c>
      <c r="D81" s="3" t="s">
        <v>198</v>
      </c>
      <c r="E81" s="127" t="s">
        <v>303</v>
      </c>
      <c r="F81" s="3" t="s">
        <v>362</v>
      </c>
      <c r="G81" s="3" t="s">
        <v>361</v>
      </c>
      <c r="H81" s="3" t="s">
        <v>360</v>
      </c>
      <c r="I81" s="3" t="s">
        <v>925</v>
      </c>
      <c r="J81" s="272" t="s">
        <v>1144</v>
      </c>
      <c r="K81" s="3" t="s">
        <v>1274</v>
      </c>
      <c r="L81" s="340" t="s">
        <v>1437</v>
      </c>
    </row>
    <row r="82" spans="1:12" s="4" customFormat="1" x14ac:dyDescent="0.25">
      <c r="A82">
        <f t="shared" ca="1" si="5"/>
        <v>0</v>
      </c>
      <c r="C82" s="3" t="s">
        <v>680</v>
      </c>
      <c r="D82" s="3" t="s">
        <v>681</v>
      </c>
      <c r="E82" s="127" t="s">
        <v>193</v>
      </c>
      <c r="F82" s="3" t="s">
        <v>363</v>
      </c>
      <c r="G82" s="3" t="s">
        <v>364</v>
      </c>
      <c r="H82" s="3" t="s">
        <v>365</v>
      </c>
      <c r="I82" s="3" t="s">
        <v>926</v>
      </c>
      <c r="J82" s="272" t="s">
        <v>1145</v>
      </c>
      <c r="K82" s="3" t="s">
        <v>1234</v>
      </c>
      <c r="L82" s="340"/>
    </row>
    <row r="83" spans="1:12" s="4" customFormat="1" x14ac:dyDescent="0.25">
      <c r="A83" t="str">
        <f t="shared" ca="1" si="5"/>
        <v>Wysokość korpusu</v>
      </c>
      <c r="C83" s="3" t="s">
        <v>178</v>
      </c>
      <c r="D83" s="3" t="s">
        <v>829</v>
      </c>
      <c r="E83" s="239" t="s">
        <v>724</v>
      </c>
      <c r="F83" s="3" t="s">
        <v>368</v>
      </c>
      <c r="G83" s="3" t="s">
        <v>367</v>
      </c>
      <c r="H83" s="3" t="s">
        <v>366</v>
      </c>
      <c r="I83" s="3" t="s">
        <v>927</v>
      </c>
      <c r="J83" s="272" t="s">
        <v>1146</v>
      </c>
      <c r="K83" s="3" t="s">
        <v>1275</v>
      </c>
      <c r="L83" s="340" t="s">
        <v>1438</v>
      </c>
    </row>
    <row r="84" spans="1:12" s="4" customFormat="1" x14ac:dyDescent="0.25">
      <c r="A84" t="str">
        <f t="shared" ca="1" si="5"/>
        <v>Ciężar frontu</v>
      </c>
      <c r="C84" s="3" t="s">
        <v>179</v>
      </c>
      <c r="D84" s="3" t="s">
        <v>830</v>
      </c>
      <c r="E84" s="239" t="s">
        <v>725</v>
      </c>
      <c r="F84" s="3" t="s">
        <v>369</v>
      </c>
      <c r="G84" s="3" t="s">
        <v>370</v>
      </c>
      <c r="H84" s="3" t="s">
        <v>369</v>
      </c>
      <c r="I84" s="3" t="s">
        <v>928</v>
      </c>
      <c r="J84" s="272" t="s">
        <v>1147</v>
      </c>
      <c r="K84" s="3" t="s">
        <v>1276</v>
      </c>
      <c r="L84" s="340" t="s">
        <v>1439</v>
      </c>
    </row>
    <row r="85" spans="1:12" s="5" customFormat="1" x14ac:dyDescent="0.25">
      <c r="A85" s="5" t="str">
        <f t="shared" ca="1" si="5"/>
        <v>Podnośnik</v>
      </c>
      <c r="C85" s="6" t="s">
        <v>170</v>
      </c>
      <c r="D85" s="6" t="s">
        <v>194</v>
      </c>
      <c r="E85" s="234" t="s">
        <v>726</v>
      </c>
      <c r="F85" s="6" t="s">
        <v>373</v>
      </c>
      <c r="G85" s="6" t="s">
        <v>372</v>
      </c>
      <c r="H85" s="6" t="s">
        <v>371</v>
      </c>
      <c r="I85" s="6" t="s">
        <v>929</v>
      </c>
      <c r="J85" s="256" t="s">
        <v>1148</v>
      </c>
      <c r="K85" s="6" t="s">
        <v>1234</v>
      </c>
      <c r="L85" s="323" t="s">
        <v>1440</v>
      </c>
    </row>
    <row r="86" spans="1:12" s="4" customFormat="1" x14ac:dyDescent="0.25">
      <c r="A86" t="str">
        <f t="shared" ca="1" si="5"/>
        <v>Potrzebne będą również</v>
      </c>
      <c r="C86" s="6" t="s">
        <v>180</v>
      </c>
      <c r="D86" s="6" t="s">
        <v>195</v>
      </c>
      <c r="E86" s="129" t="s">
        <v>304</v>
      </c>
      <c r="F86" s="6" t="s">
        <v>374</v>
      </c>
      <c r="G86" s="6" t="s">
        <v>375</v>
      </c>
      <c r="H86" s="6" t="s">
        <v>376</v>
      </c>
      <c r="I86" s="6" t="s">
        <v>930</v>
      </c>
      <c r="J86" s="256" t="s">
        <v>1149</v>
      </c>
      <c r="K86" s="6" t="s">
        <v>1277</v>
      </c>
      <c r="L86" s="323" t="s">
        <v>1441</v>
      </c>
    </row>
    <row r="87" spans="1:12" s="148" customFormat="1" x14ac:dyDescent="0.25">
      <c r="A87" s="147" t="str">
        <f t="shared" ca="1" si="5"/>
        <v>Polecamy:</v>
      </c>
      <c r="C87" s="149" t="s">
        <v>761</v>
      </c>
      <c r="D87" s="149" t="s">
        <v>762</v>
      </c>
      <c r="E87" s="234" t="s">
        <v>763</v>
      </c>
      <c r="F87" s="149" t="s">
        <v>868</v>
      </c>
      <c r="G87" s="149" t="s">
        <v>869</v>
      </c>
      <c r="H87" s="149" t="s">
        <v>870</v>
      </c>
      <c r="I87" s="149" t="s">
        <v>931</v>
      </c>
      <c r="J87" s="274" t="s">
        <v>1150</v>
      </c>
      <c r="K87" s="149" t="s">
        <v>1278</v>
      </c>
      <c r="L87" s="342" t="s">
        <v>1442</v>
      </c>
    </row>
    <row r="88" spans="1:12" s="148" customFormat="1" x14ac:dyDescent="0.25">
      <c r="A88" s="147" t="str">
        <f t="shared" ca="1" si="5"/>
        <v>zawias</v>
      </c>
      <c r="C88" s="149" t="s">
        <v>679</v>
      </c>
      <c r="D88" s="149" t="s">
        <v>764</v>
      </c>
      <c r="E88" s="234" t="s">
        <v>710</v>
      </c>
      <c r="F88" s="149" t="s">
        <v>711</v>
      </c>
      <c r="G88" s="149" t="s">
        <v>712</v>
      </c>
      <c r="H88" s="149" t="s">
        <v>713</v>
      </c>
      <c r="I88" s="149" t="s">
        <v>932</v>
      </c>
      <c r="J88" s="274" t="s">
        <v>1151</v>
      </c>
      <c r="K88" s="149" t="s">
        <v>1279</v>
      </c>
      <c r="L88" s="342" t="s">
        <v>1443</v>
      </c>
    </row>
    <row r="89" spans="1:12" s="148" customFormat="1" x14ac:dyDescent="0.25">
      <c r="A89" s="147" t="str">
        <f t="shared" ca="1" si="5"/>
        <v>oraz</v>
      </c>
      <c r="C89" s="149" t="s">
        <v>683</v>
      </c>
      <c r="D89" s="149" t="s">
        <v>688</v>
      </c>
      <c r="E89" s="234" t="s">
        <v>685</v>
      </c>
      <c r="F89" s="149" t="s">
        <v>684</v>
      </c>
      <c r="G89" s="149" t="s">
        <v>687</v>
      </c>
      <c r="H89" s="149" t="s">
        <v>686</v>
      </c>
      <c r="I89" s="149" t="s">
        <v>684</v>
      </c>
      <c r="J89" s="274" t="s">
        <v>1152</v>
      </c>
      <c r="K89" s="149" t="s">
        <v>1280</v>
      </c>
      <c r="L89" s="342" t="s">
        <v>1444</v>
      </c>
    </row>
    <row r="90" spans="1:12" s="148" customFormat="1" x14ac:dyDescent="0.25">
      <c r="A90" s="147" t="str">
        <f t="shared" ca="1" si="5"/>
        <v>prowadnik</v>
      </c>
      <c r="C90" s="149"/>
      <c r="D90" s="149" t="s">
        <v>692</v>
      </c>
      <c r="E90" s="234" t="s">
        <v>727</v>
      </c>
      <c r="F90" s="149" t="s">
        <v>691</v>
      </c>
      <c r="G90" s="149" t="s">
        <v>689</v>
      </c>
      <c r="H90" s="149" t="s">
        <v>690</v>
      </c>
      <c r="I90" s="149" t="s">
        <v>933</v>
      </c>
      <c r="J90" s="274"/>
      <c r="K90" s="149" t="s">
        <v>1281</v>
      </c>
      <c r="L90" s="342" t="s">
        <v>1445</v>
      </c>
    </row>
    <row r="91" spans="1:12" s="147" customFormat="1" x14ac:dyDescent="0.25">
      <c r="A91" s="147" t="str">
        <f ca="1">OFFSET(B91,0,$B$2,1,1)</f>
        <v>wyliczony ciężar</v>
      </c>
      <c r="C91" s="191" t="s">
        <v>602</v>
      </c>
      <c r="D91" s="191" t="s">
        <v>603</v>
      </c>
      <c r="E91" s="239" t="s">
        <v>702</v>
      </c>
      <c r="F91" s="191" t="s">
        <v>700</v>
      </c>
      <c r="G91" s="191" t="s">
        <v>701</v>
      </c>
      <c r="H91" s="191" t="s">
        <v>699</v>
      </c>
      <c r="I91" s="147" t="s">
        <v>934</v>
      </c>
      <c r="J91" s="273" t="s">
        <v>1153</v>
      </c>
      <c r="K91" s="147" t="s">
        <v>1282</v>
      </c>
      <c r="L91" s="341" t="s">
        <v>1446</v>
      </c>
    </row>
    <row r="92" spans="1:12" s="147" customFormat="1" x14ac:dyDescent="0.25">
      <c r="A92" s="147" t="str">
        <f ca="1">OFFSET(B92,0,$B$2,1,1)</f>
        <v>ręczne wprowadzenie:</v>
      </c>
      <c r="C92" s="191" t="s">
        <v>601</v>
      </c>
      <c r="D92" s="191" t="s">
        <v>604</v>
      </c>
      <c r="E92" s="239" t="s">
        <v>703</v>
      </c>
      <c r="F92" s="191" t="s">
        <v>704</v>
      </c>
      <c r="G92" s="191" t="s">
        <v>705</v>
      </c>
      <c r="H92" s="191" t="s">
        <v>706</v>
      </c>
      <c r="I92" s="147" t="s">
        <v>935</v>
      </c>
      <c r="J92" s="273" t="s">
        <v>1154</v>
      </c>
      <c r="K92" s="147" t="s">
        <v>1283</v>
      </c>
      <c r="L92" s="341" t="s">
        <v>1447</v>
      </c>
    </row>
    <row r="93" spans="1:12" s="147" customFormat="1" x14ac:dyDescent="0.25">
      <c r="A93" s="147" t="str">
        <f ca="1">OFFSET(B93,0,$B$2,1,1)</f>
        <v>razem:</v>
      </c>
      <c r="C93" s="147" t="s">
        <v>605</v>
      </c>
      <c r="D93" s="191" t="s">
        <v>606</v>
      </c>
      <c r="E93" s="239" t="s">
        <v>709</v>
      </c>
      <c r="F93" s="191" t="s">
        <v>708</v>
      </c>
      <c r="G93" s="191" t="s">
        <v>606</v>
      </c>
      <c r="H93" s="191" t="s">
        <v>707</v>
      </c>
      <c r="I93" s="147" t="s">
        <v>707</v>
      </c>
      <c r="J93" s="273" t="s">
        <v>1155</v>
      </c>
      <c r="K93" s="147" t="s">
        <v>1284</v>
      </c>
      <c r="L93" s="341" t="s">
        <v>1448</v>
      </c>
    </row>
    <row r="94" spans="1:12" s="4" customFormat="1" x14ac:dyDescent="0.25">
      <c r="A94" t="str">
        <f t="shared" ca="1" si="5"/>
        <v>Rekomendacja</v>
      </c>
      <c r="C94" s="6" t="s">
        <v>177</v>
      </c>
      <c r="D94" s="6" t="s">
        <v>196</v>
      </c>
      <c r="E94" s="129" t="s">
        <v>305</v>
      </c>
      <c r="F94" s="6" t="s">
        <v>379</v>
      </c>
      <c r="G94" s="6" t="s">
        <v>378</v>
      </c>
      <c r="H94" s="6" t="s">
        <v>377</v>
      </c>
      <c r="I94" s="6" t="s">
        <v>936</v>
      </c>
      <c r="J94" s="256" t="s">
        <v>1156</v>
      </c>
      <c r="K94" s="6" t="s">
        <v>1285</v>
      </c>
      <c r="L94" s="323" t="s">
        <v>1449</v>
      </c>
    </row>
    <row r="95" spans="1:12" s="4" customFormat="1" x14ac:dyDescent="0.25">
      <c r="A95" t="str">
        <f t="shared" ca="1" si="5"/>
        <v>← powrót</v>
      </c>
      <c r="C95" s="6" t="s">
        <v>578</v>
      </c>
      <c r="D95" s="6" t="s">
        <v>579</v>
      </c>
      <c r="E95" s="129" t="s">
        <v>580</v>
      </c>
      <c r="F95" s="6" t="s">
        <v>581</v>
      </c>
      <c r="G95" s="6" t="s">
        <v>582</v>
      </c>
      <c r="H95" s="6" t="s">
        <v>583</v>
      </c>
      <c r="I95" s="6" t="s">
        <v>937</v>
      </c>
      <c r="J95" s="256" t="s">
        <v>1157</v>
      </c>
      <c r="K95" s="6" t="s">
        <v>1286</v>
      </c>
      <c r="L95" s="323" t="s">
        <v>1450</v>
      </c>
    </row>
    <row r="96" spans="1:12" hidden="1" x14ac:dyDescent="0.25">
      <c r="A96">
        <f t="shared" ca="1" si="5"/>
        <v>0</v>
      </c>
      <c r="C96" s="6" t="s">
        <v>13</v>
      </c>
      <c r="D96" s="6" t="s">
        <v>99</v>
      </c>
      <c r="E96" s="129"/>
      <c r="F96" s="6"/>
      <c r="G96" s="6"/>
      <c r="H96" s="6"/>
      <c r="I96" s="6" t="s">
        <v>938</v>
      </c>
      <c r="J96" s="256"/>
      <c r="K96" s="6"/>
      <c r="L96" s="323"/>
    </row>
    <row r="97" spans="1:12" x14ac:dyDescent="0.25">
      <c r="A97" t="str">
        <f ca="1">OFFSET(B97,0,$B$2,1,1)</f>
        <v>Informacja</v>
      </c>
      <c r="C97" s="13" t="s">
        <v>73</v>
      </c>
      <c r="D97" s="13" t="s">
        <v>113</v>
      </c>
      <c r="E97" s="130" t="s">
        <v>73</v>
      </c>
      <c r="F97" s="13" t="s">
        <v>380</v>
      </c>
      <c r="G97" s="13" t="s">
        <v>381</v>
      </c>
      <c r="H97" s="13" t="s">
        <v>382</v>
      </c>
      <c r="I97" s="252" t="s">
        <v>939</v>
      </c>
      <c r="J97" s="257" t="s">
        <v>1158</v>
      </c>
      <c r="K97" s="13" t="s">
        <v>1287</v>
      </c>
      <c r="L97" s="325" t="s">
        <v>1451</v>
      </c>
    </row>
    <row r="98" spans="1:12" x14ac:dyDescent="0.25">
      <c r="A98" t="str">
        <f ca="1">OFFSET(B98,0,$B$2,1,1)</f>
        <v>Numer do zamówienia</v>
      </c>
      <c r="C98" s="13" t="s">
        <v>115</v>
      </c>
      <c r="D98" s="13" t="s">
        <v>116</v>
      </c>
      <c r="E98" s="235" t="s">
        <v>728</v>
      </c>
      <c r="F98" s="13" t="s">
        <v>383</v>
      </c>
      <c r="G98" s="13" t="s">
        <v>384</v>
      </c>
      <c r="H98" s="13" t="s">
        <v>383</v>
      </c>
      <c r="I98" s="13" t="s">
        <v>940</v>
      </c>
      <c r="J98" s="257" t="s">
        <v>1159</v>
      </c>
      <c r="K98" s="13" t="s">
        <v>1288</v>
      </c>
      <c r="L98" s="325" t="s">
        <v>1452</v>
      </c>
    </row>
    <row r="99" spans="1:12" x14ac:dyDescent="0.25">
      <c r="A99" t="str">
        <f ca="1">OFFSET(B99,0,$B$2,1,1)</f>
        <v>Strona</v>
      </c>
      <c r="C99" s="13" t="s">
        <v>16</v>
      </c>
      <c r="D99" s="13" t="s">
        <v>117</v>
      </c>
      <c r="E99" s="130" t="s">
        <v>313</v>
      </c>
      <c r="F99" s="13" t="s">
        <v>385</v>
      </c>
      <c r="G99" s="13" t="s">
        <v>386</v>
      </c>
      <c r="H99" s="13" t="s">
        <v>387</v>
      </c>
      <c r="I99" s="13" t="s">
        <v>941</v>
      </c>
      <c r="J99" s="257" t="s">
        <v>1160</v>
      </c>
      <c r="K99" s="13" t="s">
        <v>1289</v>
      </c>
      <c r="L99" s="325" t="s">
        <v>1453</v>
      </c>
    </row>
    <row r="100" spans="1:12" x14ac:dyDescent="0.25">
      <c r="A100" t="str">
        <f ca="1">OFFSET(B100,0,$B$2,1,1)</f>
        <v xml:space="preserve">Siłownik/sprężyna </v>
      </c>
      <c r="C100" s="13" t="s">
        <v>74</v>
      </c>
      <c r="D100" s="13" t="s">
        <v>114</v>
      </c>
      <c r="E100" s="130" t="s">
        <v>312</v>
      </c>
      <c r="F100" s="13" t="s">
        <v>388</v>
      </c>
      <c r="G100" s="13" t="s">
        <v>389</v>
      </c>
      <c r="H100" s="13" t="s">
        <v>390</v>
      </c>
      <c r="I100" s="13" t="s">
        <v>942</v>
      </c>
      <c r="J100" s="257" t="s">
        <v>1161</v>
      </c>
      <c r="K100" s="13" t="s">
        <v>1290</v>
      </c>
      <c r="L100" s="325" t="s">
        <v>1527</v>
      </c>
    </row>
    <row r="101" spans="1:12" x14ac:dyDescent="0.25">
      <c r="A101" t="str">
        <f t="shared" ca="1" si="4"/>
        <v>Zestaw (prawy+lewy)</v>
      </c>
      <c r="C101" s="13" t="s">
        <v>17</v>
      </c>
      <c r="D101" s="13" t="s">
        <v>17</v>
      </c>
      <c r="E101" s="235" t="s">
        <v>391</v>
      </c>
      <c r="F101" s="13" t="s">
        <v>391</v>
      </c>
      <c r="G101" s="13" t="s">
        <v>391</v>
      </c>
      <c r="H101" s="13" t="s">
        <v>391</v>
      </c>
      <c r="I101" s="13" t="s">
        <v>943</v>
      </c>
      <c r="J101" s="257" t="s">
        <v>1162</v>
      </c>
      <c r="K101" s="13" t="s">
        <v>1291</v>
      </c>
      <c r="L101" s="325" t="s">
        <v>1454</v>
      </c>
    </row>
    <row r="102" spans="1:12" x14ac:dyDescent="0.25">
      <c r="A102" t="str">
        <f t="shared" ca="1" si="4"/>
        <v>Lewy</v>
      </c>
      <c r="C102" s="13" t="s">
        <v>15</v>
      </c>
      <c r="D102" s="13" t="s">
        <v>97</v>
      </c>
      <c r="E102" s="130" t="s">
        <v>306</v>
      </c>
      <c r="F102" s="13" t="s">
        <v>392</v>
      </c>
      <c r="G102" s="13" t="s">
        <v>393</v>
      </c>
      <c r="H102" s="13" t="s">
        <v>394</v>
      </c>
      <c r="I102" s="13" t="s">
        <v>944</v>
      </c>
      <c r="J102" s="257" t="s">
        <v>1163</v>
      </c>
      <c r="K102" s="13" t="s">
        <v>1292</v>
      </c>
      <c r="L102" s="325" t="s">
        <v>1455</v>
      </c>
    </row>
    <row r="103" spans="1:12" s="110" customFormat="1" x14ac:dyDescent="0.25">
      <c r="A103" s="110" t="str">
        <f t="shared" ca="1" si="4"/>
        <v>Ramię Typ 1</v>
      </c>
      <c r="C103" s="112" t="s">
        <v>3</v>
      </c>
      <c r="D103" s="112" t="s">
        <v>318</v>
      </c>
      <c r="E103" s="130" t="s">
        <v>404</v>
      </c>
      <c r="F103" s="112" t="s">
        <v>411</v>
      </c>
      <c r="G103" s="112" t="s">
        <v>418</v>
      </c>
      <c r="H103" s="112" t="s">
        <v>425</v>
      </c>
      <c r="I103" s="112" t="s">
        <v>945</v>
      </c>
      <c r="J103" s="259" t="s">
        <v>1164</v>
      </c>
      <c r="K103" s="112" t="s">
        <v>1293</v>
      </c>
      <c r="L103" s="328" t="s">
        <v>1456</v>
      </c>
    </row>
    <row r="104" spans="1:12" s="110" customFormat="1" x14ac:dyDescent="0.25">
      <c r="A104" s="110" t="str">
        <f t="shared" ca="1" si="4"/>
        <v>Ramię Typ 2</v>
      </c>
      <c r="C104" s="112" t="s">
        <v>6</v>
      </c>
      <c r="D104" s="112" t="s">
        <v>319</v>
      </c>
      <c r="E104" s="130" t="s">
        <v>405</v>
      </c>
      <c r="F104" s="112" t="s">
        <v>412</v>
      </c>
      <c r="G104" s="112" t="s">
        <v>419</v>
      </c>
      <c r="H104" s="112" t="s">
        <v>426</v>
      </c>
      <c r="I104" s="112" t="s">
        <v>946</v>
      </c>
      <c r="J104" s="259" t="s">
        <v>1165</v>
      </c>
      <c r="K104" s="112" t="s">
        <v>1294</v>
      </c>
      <c r="L104" s="328" t="s">
        <v>1457</v>
      </c>
    </row>
    <row r="105" spans="1:12" s="110" customFormat="1" x14ac:dyDescent="0.25">
      <c r="A105" s="110" t="str">
        <f t="shared" ca="1" si="4"/>
        <v>Ramię Typ 3</v>
      </c>
      <c r="C105" s="112" t="s">
        <v>10</v>
      </c>
      <c r="D105" s="112" t="s">
        <v>320</v>
      </c>
      <c r="E105" s="130" t="s">
        <v>406</v>
      </c>
      <c r="F105" s="112" t="s">
        <v>413</v>
      </c>
      <c r="G105" s="112" t="s">
        <v>420</v>
      </c>
      <c r="H105" s="112" t="s">
        <v>427</v>
      </c>
      <c r="I105" s="112" t="s">
        <v>947</v>
      </c>
      <c r="J105" s="259" t="s">
        <v>1166</v>
      </c>
      <c r="K105" s="112" t="s">
        <v>1295</v>
      </c>
      <c r="L105" s="328" t="s">
        <v>1458</v>
      </c>
    </row>
    <row r="106" spans="1:12" s="110" customFormat="1" x14ac:dyDescent="0.25">
      <c r="A106" s="110" t="str">
        <f t="shared" ca="1" si="4"/>
        <v>Ramię Typ 4</v>
      </c>
      <c r="C106" s="112" t="s">
        <v>44</v>
      </c>
      <c r="D106" s="112" t="s">
        <v>321</v>
      </c>
      <c r="E106" s="130" t="s">
        <v>407</v>
      </c>
      <c r="F106" s="112" t="s">
        <v>414</v>
      </c>
      <c r="G106" s="112" t="s">
        <v>421</v>
      </c>
      <c r="H106" s="112" t="s">
        <v>428</v>
      </c>
      <c r="I106" s="112" t="s">
        <v>948</v>
      </c>
      <c r="J106" s="259" t="s">
        <v>1167</v>
      </c>
      <c r="K106" s="112" t="s">
        <v>1296</v>
      </c>
      <c r="L106" s="328" t="s">
        <v>1459</v>
      </c>
    </row>
    <row r="107" spans="1:12" s="110" customFormat="1" x14ac:dyDescent="0.25">
      <c r="A107" s="110" t="str">
        <f t="shared" ca="1" si="4"/>
        <v>Ramię Typ 5</v>
      </c>
      <c r="C107" s="112" t="s">
        <v>45</v>
      </c>
      <c r="D107" s="112" t="s">
        <v>322</v>
      </c>
      <c r="E107" s="130" t="s">
        <v>408</v>
      </c>
      <c r="F107" s="112" t="s">
        <v>415</v>
      </c>
      <c r="G107" s="112" t="s">
        <v>422</v>
      </c>
      <c r="H107" s="112" t="s">
        <v>429</v>
      </c>
      <c r="I107" s="112" t="s">
        <v>949</v>
      </c>
      <c r="J107" s="259" t="s">
        <v>1168</v>
      </c>
      <c r="K107" s="112" t="s">
        <v>1297</v>
      </c>
      <c r="L107" s="328" t="s">
        <v>1460</v>
      </c>
    </row>
    <row r="108" spans="1:12" s="110" customFormat="1" x14ac:dyDescent="0.25">
      <c r="A108" s="110" t="str">
        <f t="shared" ca="1" si="4"/>
        <v>Ramię Typ 6</v>
      </c>
      <c r="C108" s="112" t="s">
        <v>46</v>
      </c>
      <c r="D108" s="112" t="s">
        <v>323</v>
      </c>
      <c r="E108" s="130" t="s">
        <v>409</v>
      </c>
      <c r="F108" s="112" t="s">
        <v>416</v>
      </c>
      <c r="G108" s="112" t="s">
        <v>423</v>
      </c>
      <c r="H108" s="112" t="s">
        <v>430</v>
      </c>
      <c r="I108" s="112" t="s">
        <v>950</v>
      </c>
      <c r="J108" s="259" t="s">
        <v>1169</v>
      </c>
      <c r="K108" s="112" t="s">
        <v>1298</v>
      </c>
      <c r="L108" s="328" t="s">
        <v>1461</v>
      </c>
    </row>
    <row r="109" spans="1:12" s="110" customFormat="1" x14ac:dyDescent="0.25">
      <c r="A109" s="110" t="str">
        <f ca="1">OFFSET(B109,0,$B$2,1,1)</f>
        <v>Ramię Typ 7</v>
      </c>
      <c r="C109" s="112" t="s">
        <v>48</v>
      </c>
      <c r="D109" s="112" t="s">
        <v>324</v>
      </c>
      <c r="E109" s="130" t="s">
        <v>410</v>
      </c>
      <c r="F109" s="112" t="s">
        <v>417</v>
      </c>
      <c r="G109" s="112" t="s">
        <v>424</v>
      </c>
      <c r="H109" s="112" t="s">
        <v>431</v>
      </c>
      <c r="I109" s="112" t="s">
        <v>951</v>
      </c>
      <c r="J109" s="259" t="s">
        <v>1170</v>
      </c>
      <c r="K109" s="112" t="s">
        <v>1299</v>
      </c>
      <c r="L109" s="328" t="s">
        <v>1462</v>
      </c>
    </row>
    <row r="110" spans="1:12" s="110" customFormat="1" x14ac:dyDescent="0.25">
      <c r="A110" s="110" t="str">
        <f t="shared" ca="1" si="4"/>
        <v>Siłownik A</v>
      </c>
      <c r="C110" s="112" t="s">
        <v>2</v>
      </c>
      <c r="D110" s="112" t="s">
        <v>325</v>
      </c>
      <c r="E110" s="130" t="s">
        <v>432</v>
      </c>
      <c r="F110" s="112" t="s">
        <v>437</v>
      </c>
      <c r="G110" s="112" t="s">
        <v>442</v>
      </c>
      <c r="H110" s="112" t="s">
        <v>447</v>
      </c>
      <c r="I110" s="112" t="s">
        <v>952</v>
      </c>
      <c r="J110" s="259" t="s">
        <v>1171</v>
      </c>
      <c r="K110" s="112" t="s">
        <v>1300</v>
      </c>
      <c r="L110" s="328" t="s">
        <v>1463</v>
      </c>
    </row>
    <row r="111" spans="1:12" s="110" customFormat="1" x14ac:dyDescent="0.25">
      <c r="A111" s="110" t="str">
        <f t="shared" ca="1" si="4"/>
        <v>Siłownik B</v>
      </c>
      <c r="C111" s="112" t="s">
        <v>5</v>
      </c>
      <c r="D111" s="112" t="s">
        <v>326</v>
      </c>
      <c r="E111" s="130" t="s">
        <v>433</v>
      </c>
      <c r="F111" s="112" t="s">
        <v>438</v>
      </c>
      <c r="G111" s="112" t="s">
        <v>443</v>
      </c>
      <c r="H111" s="112" t="s">
        <v>448</v>
      </c>
      <c r="I111" s="112" t="s">
        <v>953</v>
      </c>
      <c r="J111" s="259" t="s">
        <v>1172</v>
      </c>
      <c r="K111" s="112" t="s">
        <v>1301</v>
      </c>
      <c r="L111" s="328" t="s">
        <v>1464</v>
      </c>
    </row>
    <row r="112" spans="1:12" s="110" customFormat="1" x14ac:dyDescent="0.25">
      <c r="A112" s="110" t="str">
        <f t="shared" ca="1" si="4"/>
        <v>Siłownik C</v>
      </c>
      <c r="C112" s="112" t="s">
        <v>43</v>
      </c>
      <c r="D112" s="112" t="s">
        <v>327</v>
      </c>
      <c r="E112" s="130" t="s">
        <v>434</v>
      </c>
      <c r="F112" s="112" t="s">
        <v>439</v>
      </c>
      <c r="G112" s="112" t="s">
        <v>444</v>
      </c>
      <c r="H112" s="112" t="s">
        <v>449</v>
      </c>
      <c r="I112" s="112" t="s">
        <v>954</v>
      </c>
      <c r="J112" s="259" t="s">
        <v>1173</v>
      </c>
      <c r="K112" s="112" t="s">
        <v>1302</v>
      </c>
      <c r="L112" s="328" t="s">
        <v>1465</v>
      </c>
    </row>
    <row r="113" spans="1:12" s="110" customFormat="1" x14ac:dyDescent="0.25">
      <c r="A113" s="110" t="str">
        <f t="shared" ca="1" si="4"/>
        <v>Siłownik D</v>
      </c>
      <c r="C113" s="112" t="s">
        <v>47</v>
      </c>
      <c r="D113" s="112" t="s">
        <v>328</v>
      </c>
      <c r="E113" s="130" t="s">
        <v>435</v>
      </c>
      <c r="F113" s="112" t="s">
        <v>440</v>
      </c>
      <c r="G113" s="112" t="s">
        <v>445</v>
      </c>
      <c r="H113" s="112" t="s">
        <v>450</v>
      </c>
      <c r="I113" s="112" t="s">
        <v>955</v>
      </c>
      <c r="J113" s="259" t="s">
        <v>1174</v>
      </c>
      <c r="K113" s="112" t="s">
        <v>1303</v>
      </c>
      <c r="L113" s="328" t="s">
        <v>1466</v>
      </c>
    </row>
    <row r="114" spans="1:12" s="110" customFormat="1" x14ac:dyDescent="0.25">
      <c r="A114" s="110" t="str">
        <f t="shared" ca="1" si="4"/>
        <v>Siłownik E</v>
      </c>
      <c r="C114" s="112" t="s">
        <v>52</v>
      </c>
      <c r="D114" s="112" t="s">
        <v>329</v>
      </c>
      <c r="E114" s="130" t="s">
        <v>436</v>
      </c>
      <c r="F114" s="112" t="s">
        <v>441</v>
      </c>
      <c r="G114" s="112" t="s">
        <v>446</v>
      </c>
      <c r="H114" s="112" t="s">
        <v>451</v>
      </c>
      <c r="I114" s="112" t="s">
        <v>956</v>
      </c>
      <c r="J114" s="259" t="s">
        <v>1175</v>
      </c>
      <c r="K114" s="112" t="s">
        <v>1304</v>
      </c>
      <c r="L114" s="328" t="s">
        <v>1467</v>
      </c>
    </row>
    <row r="115" spans="1:12" s="110" customFormat="1" x14ac:dyDescent="0.25">
      <c r="A115" s="110" t="str">
        <f ca="1">OFFSET(B115,0,$B$2,1,1)</f>
        <v>Sprężyna standard</v>
      </c>
      <c r="C115" s="112" t="s">
        <v>18</v>
      </c>
      <c r="D115" s="112" t="s">
        <v>463</v>
      </c>
      <c r="E115" s="130" t="s">
        <v>452</v>
      </c>
      <c r="F115" s="112" t="s">
        <v>453</v>
      </c>
      <c r="G115" s="112" t="s">
        <v>454</v>
      </c>
      <c r="H115" s="112" t="s">
        <v>455</v>
      </c>
      <c r="I115" s="112" t="s">
        <v>957</v>
      </c>
      <c r="J115" s="259" t="s">
        <v>1176</v>
      </c>
      <c r="K115" s="112" t="s">
        <v>1305</v>
      </c>
      <c r="L115" s="328" t="s">
        <v>1468</v>
      </c>
    </row>
    <row r="116" spans="1:12" s="110" customFormat="1" x14ac:dyDescent="0.25">
      <c r="A116" s="110" t="str">
        <f ca="1">OFFSET(B116,0,$B$2,1,1)</f>
        <v>Sprężyna czarna</v>
      </c>
      <c r="C116" s="112" t="s">
        <v>23</v>
      </c>
      <c r="D116" s="112" t="s">
        <v>462</v>
      </c>
      <c r="E116" s="130" t="s">
        <v>459</v>
      </c>
      <c r="F116" s="112" t="s">
        <v>458</v>
      </c>
      <c r="G116" s="112" t="s">
        <v>457</v>
      </c>
      <c r="H116" s="112" t="s">
        <v>456</v>
      </c>
      <c r="I116" s="112" t="s">
        <v>958</v>
      </c>
      <c r="J116" s="259" t="s">
        <v>1177</v>
      </c>
      <c r="K116" s="112" t="s">
        <v>1306</v>
      </c>
      <c r="L116" s="328" t="s">
        <v>1469</v>
      </c>
    </row>
    <row r="117" spans="1:12" s="110" customFormat="1" x14ac:dyDescent="0.25">
      <c r="A117" s="110" t="str">
        <f ca="1">OFFSET(B117,0,$B$2,1,1)</f>
        <v>Sprężyna biała</v>
      </c>
      <c r="C117" s="112" t="s">
        <v>35</v>
      </c>
      <c r="D117" s="112" t="s">
        <v>460</v>
      </c>
      <c r="E117" s="130" t="s">
        <v>464</v>
      </c>
      <c r="F117" s="112" t="s">
        <v>466</v>
      </c>
      <c r="G117" s="112" t="s">
        <v>468</v>
      </c>
      <c r="H117" s="112" t="s">
        <v>470</v>
      </c>
      <c r="I117" s="112" t="s">
        <v>959</v>
      </c>
      <c r="J117" s="259" t="s">
        <v>1178</v>
      </c>
      <c r="K117" s="112" t="s">
        <v>1307</v>
      </c>
      <c r="L117" s="328" t="s">
        <v>1470</v>
      </c>
    </row>
    <row r="118" spans="1:12" s="110" customFormat="1" x14ac:dyDescent="0.25">
      <c r="A118" s="110" t="str">
        <f ca="1">OFFSET(B118,0,$B$2,1,1)</f>
        <v>Sprężyna pomarańczowa</v>
      </c>
      <c r="C118" s="112" t="s">
        <v>54</v>
      </c>
      <c r="D118" s="112" t="s">
        <v>461</v>
      </c>
      <c r="E118" s="130" t="s">
        <v>465</v>
      </c>
      <c r="F118" s="112" t="s">
        <v>467</v>
      </c>
      <c r="G118" s="112" t="s">
        <v>469</v>
      </c>
      <c r="H118" s="112" t="s">
        <v>471</v>
      </c>
      <c r="I118" s="112" t="s">
        <v>960</v>
      </c>
      <c r="J118" s="259" t="s">
        <v>1179</v>
      </c>
      <c r="K118" s="112" t="s">
        <v>1308</v>
      </c>
      <c r="L118" s="328" t="s">
        <v>1471</v>
      </c>
    </row>
    <row r="119" spans="1:12" s="110" customFormat="1" x14ac:dyDescent="0.25">
      <c r="A119" s="110" t="str">
        <f t="shared" ref="A119:A121" ca="1" si="6">OFFSET(B119,0,$B$2,1,1)</f>
        <v>Sprężyna żółta jednostronnie</v>
      </c>
      <c r="C119" s="112" t="s">
        <v>40</v>
      </c>
      <c r="D119" s="112" t="s">
        <v>331</v>
      </c>
      <c r="E119" s="240" t="s">
        <v>472</v>
      </c>
      <c r="F119" s="112" t="s">
        <v>475</v>
      </c>
      <c r="G119" s="112" t="s">
        <v>478</v>
      </c>
      <c r="H119" s="112" t="s">
        <v>481</v>
      </c>
      <c r="I119" s="112" t="s">
        <v>961</v>
      </c>
      <c r="J119" s="259" t="s">
        <v>1180</v>
      </c>
      <c r="K119" s="112" t="s">
        <v>1309</v>
      </c>
      <c r="L119" s="328" t="s">
        <v>1472</v>
      </c>
    </row>
    <row r="120" spans="1:12" s="110" customFormat="1" x14ac:dyDescent="0.25">
      <c r="A120" s="110" t="str">
        <f t="shared" ca="1" si="6"/>
        <v>Sprężyna żółta dwustronnie</v>
      </c>
      <c r="C120" s="112" t="s">
        <v>55</v>
      </c>
      <c r="D120" s="112" t="s">
        <v>330</v>
      </c>
      <c r="E120" s="130" t="s">
        <v>473</v>
      </c>
      <c r="F120" s="112" t="s">
        <v>476</v>
      </c>
      <c r="G120" s="112" t="s">
        <v>479</v>
      </c>
      <c r="H120" s="112" t="s">
        <v>482</v>
      </c>
      <c r="I120" s="112" t="s">
        <v>962</v>
      </c>
      <c r="J120" s="259" t="s">
        <v>1181</v>
      </c>
      <c r="K120" s="112" t="s">
        <v>1310</v>
      </c>
      <c r="L120" s="328" t="s">
        <v>1473</v>
      </c>
    </row>
    <row r="121" spans="1:12" s="110" customFormat="1" x14ac:dyDescent="0.25">
      <c r="A121" s="110" t="str">
        <f t="shared" ca="1" si="6"/>
        <v>Sprężyna czarna dwustronnie</v>
      </c>
      <c r="C121" s="112" t="s">
        <v>56</v>
      </c>
      <c r="D121" s="112" t="s">
        <v>332</v>
      </c>
      <c r="E121" s="130" t="s">
        <v>474</v>
      </c>
      <c r="F121" s="112" t="s">
        <v>477</v>
      </c>
      <c r="G121" s="112" t="s">
        <v>480</v>
      </c>
      <c r="H121" s="112" t="s">
        <v>483</v>
      </c>
      <c r="I121" s="112" t="s">
        <v>963</v>
      </c>
      <c r="J121" s="259" t="s">
        <v>1182</v>
      </c>
      <c r="K121" s="112" t="s">
        <v>1311</v>
      </c>
      <c r="L121" s="328" t="s">
        <v>1474</v>
      </c>
    </row>
    <row r="122" spans="1:12" x14ac:dyDescent="0.25">
      <c r="A122" t="str">
        <f t="shared" ref="A122:A138" ca="1" si="7">OFFSET(B122,0,$B$2,1,1)</f>
        <v>nastawialna</v>
      </c>
      <c r="C122" s="13" t="s">
        <v>29</v>
      </c>
      <c r="D122" s="13" t="s">
        <v>96</v>
      </c>
      <c r="E122" s="130" t="s">
        <v>523</v>
      </c>
      <c r="F122" s="13" t="s">
        <v>522</v>
      </c>
      <c r="G122" s="13" t="s">
        <v>521</v>
      </c>
      <c r="H122" s="13" t="s">
        <v>520</v>
      </c>
      <c r="I122" s="13" t="s">
        <v>964</v>
      </c>
      <c r="J122" s="257" t="s">
        <v>1183</v>
      </c>
      <c r="K122" s="13" t="s">
        <v>1312</v>
      </c>
      <c r="L122" s="325" t="s">
        <v>1475</v>
      </c>
    </row>
    <row r="123" spans="1:12" x14ac:dyDescent="0.25">
      <c r="A123" t="str">
        <f t="shared" ca="1" si="7"/>
        <v>1 podnośnik T-105</v>
      </c>
      <c r="C123" s="13" t="s">
        <v>20</v>
      </c>
      <c r="D123" s="13" t="s">
        <v>484</v>
      </c>
      <c r="E123" s="130" t="s">
        <v>486</v>
      </c>
      <c r="F123" s="13" t="s">
        <v>488</v>
      </c>
      <c r="G123" s="13" t="s">
        <v>490</v>
      </c>
      <c r="H123" s="13" t="s">
        <v>492</v>
      </c>
      <c r="I123" s="13" t="s">
        <v>965</v>
      </c>
      <c r="J123" s="257" t="s">
        <v>1184</v>
      </c>
      <c r="K123" s="13" t="s">
        <v>1313</v>
      </c>
      <c r="L123" s="325" t="s">
        <v>1476</v>
      </c>
    </row>
    <row r="124" spans="1:12" x14ac:dyDescent="0.25">
      <c r="A124" t="str">
        <f t="shared" ca="1" si="7"/>
        <v>2 podnośniki T-105</v>
      </c>
      <c r="C124" s="13" t="s">
        <v>27</v>
      </c>
      <c r="D124" s="13" t="s">
        <v>485</v>
      </c>
      <c r="E124" s="130" t="s">
        <v>487</v>
      </c>
      <c r="F124" s="13" t="s">
        <v>489</v>
      </c>
      <c r="G124" s="13" t="s">
        <v>491</v>
      </c>
      <c r="H124" s="13" t="s">
        <v>493</v>
      </c>
      <c r="I124" s="13" t="s">
        <v>966</v>
      </c>
      <c r="J124" s="257" t="s">
        <v>1185</v>
      </c>
      <c r="K124" s="13" t="s">
        <v>1314</v>
      </c>
      <c r="L124" s="325" t="s">
        <v>1477</v>
      </c>
    </row>
    <row r="125" spans="1:12" hidden="1" x14ac:dyDescent="0.25">
      <c r="A125">
        <f t="shared" ca="1" si="7"/>
        <v>0</v>
      </c>
      <c r="C125" s="13" t="s">
        <v>38</v>
      </c>
      <c r="D125" s="13" t="s">
        <v>94</v>
      </c>
      <c r="E125" s="130" t="s">
        <v>307</v>
      </c>
      <c r="F125" s="13"/>
      <c r="G125" s="13"/>
      <c r="H125" s="13"/>
      <c r="I125" s="13" t="s">
        <v>967</v>
      </c>
      <c r="J125" s="257"/>
      <c r="K125" s="13"/>
      <c r="L125" s="325"/>
    </row>
    <row r="126" spans="1:12" hidden="1" x14ac:dyDescent="0.25">
      <c r="A126">
        <f t="shared" ca="1" si="7"/>
        <v>0</v>
      </c>
      <c r="C126" s="13" t="s">
        <v>110</v>
      </c>
      <c r="D126" s="13" t="s">
        <v>109</v>
      </c>
      <c r="E126" s="130" t="s">
        <v>308</v>
      </c>
      <c r="F126" s="13"/>
      <c r="G126" s="13"/>
      <c r="H126" s="13"/>
      <c r="I126" s="13" t="s">
        <v>968</v>
      </c>
      <c r="J126" s="257"/>
      <c r="K126" s="13"/>
      <c r="L126" s="325"/>
    </row>
    <row r="127" spans="1:12" hidden="1" x14ac:dyDescent="0.25">
      <c r="A127">
        <f t="shared" ca="1" si="7"/>
        <v>0</v>
      </c>
      <c r="C127" s="13" t="s">
        <v>9</v>
      </c>
      <c r="D127" s="13" t="s">
        <v>108</v>
      </c>
      <c r="E127" s="130" t="s">
        <v>309</v>
      </c>
      <c r="F127" s="13"/>
      <c r="G127" s="13"/>
      <c r="H127" s="13"/>
      <c r="I127" s="13" t="s">
        <v>969</v>
      </c>
      <c r="J127" s="257"/>
      <c r="K127" s="13"/>
      <c r="L127" s="325"/>
    </row>
    <row r="128" spans="1:12" hidden="1" x14ac:dyDescent="0.25">
      <c r="A128">
        <f t="shared" ca="1" si="7"/>
        <v>0</v>
      </c>
      <c r="C128" s="13" t="s">
        <v>105</v>
      </c>
      <c r="D128" s="13" t="s">
        <v>106</v>
      </c>
      <c r="E128" s="130" t="s">
        <v>310</v>
      </c>
      <c r="F128" s="13"/>
      <c r="G128" s="13"/>
      <c r="H128" s="13"/>
      <c r="I128" s="13" t="s">
        <v>970</v>
      </c>
      <c r="J128" s="257"/>
      <c r="K128" s="13"/>
      <c r="L128" s="325"/>
    </row>
    <row r="129" spans="1:12" hidden="1" x14ac:dyDescent="0.25">
      <c r="A129">
        <f t="shared" ca="1" si="7"/>
        <v>0</v>
      </c>
      <c r="C129" s="13" t="s">
        <v>333</v>
      </c>
      <c r="D129" s="13" t="s">
        <v>112</v>
      </c>
      <c r="E129" s="130" t="s">
        <v>311</v>
      </c>
      <c r="F129" s="13"/>
      <c r="G129" s="13"/>
      <c r="H129" s="13"/>
      <c r="I129" s="13" t="s">
        <v>971</v>
      </c>
      <c r="J129" s="257"/>
      <c r="K129" s="13"/>
      <c r="L129" s="325"/>
    </row>
    <row r="130" spans="1:12" hidden="1" x14ac:dyDescent="0.25">
      <c r="A130">
        <f t="shared" ca="1" si="7"/>
        <v>0</v>
      </c>
      <c r="C130" s="13" t="s">
        <v>494</v>
      </c>
      <c r="D130" s="13" t="s">
        <v>93</v>
      </c>
      <c r="E130" s="130" t="s">
        <v>314</v>
      </c>
      <c r="F130" s="13"/>
      <c r="G130" s="13"/>
      <c r="H130" s="13"/>
      <c r="I130" s="13" t="s">
        <v>972</v>
      </c>
      <c r="J130" s="257"/>
      <c r="K130" s="13"/>
      <c r="L130" s="325"/>
    </row>
    <row r="131" spans="1:12" hidden="1" x14ac:dyDescent="0.25">
      <c r="A131">
        <f t="shared" ca="1" si="7"/>
        <v>0</v>
      </c>
      <c r="C131" s="13" t="s">
        <v>25</v>
      </c>
      <c r="D131" s="13" t="s">
        <v>92</v>
      </c>
      <c r="E131" s="130"/>
      <c r="F131" s="13"/>
      <c r="G131" s="13"/>
      <c r="H131" s="13"/>
      <c r="I131" s="13" t="s">
        <v>973</v>
      </c>
      <c r="J131" s="257"/>
      <c r="K131" s="13"/>
      <c r="L131" s="325"/>
    </row>
    <row r="132" spans="1:12" s="86" customFormat="1" hidden="1" x14ac:dyDescent="0.25">
      <c r="A132" s="86">
        <f ca="1">OFFSET(B132,0,$B$2,1,1)</f>
        <v>0</v>
      </c>
      <c r="C132" s="85" t="s">
        <v>32</v>
      </c>
      <c r="D132" s="85" t="s">
        <v>91</v>
      </c>
      <c r="E132" s="241"/>
      <c r="F132" s="85"/>
      <c r="G132" s="85"/>
      <c r="H132" s="85"/>
      <c r="I132" s="13" t="s">
        <v>974</v>
      </c>
      <c r="J132" s="275"/>
      <c r="K132" s="85"/>
      <c r="L132" s="343"/>
    </row>
    <row r="133" spans="1:12" s="110" customFormat="1" x14ac:dyDescent="0.25">
      <c r="A133" s="110" t="str">
        <f t="shared" ca="1" si="7"/>
        <v>Adapter do ram aluminiowych, do Kinvaro L-80 zest.</v>
      </c>
      <c r="C133" s="112" t="s">
        <v>42</v>
      </c>
      <c r="D133" s="112" t="s">
        <v>90</v>
      </c>
      <c r="E133" s="130" t="s">
        <v>511</v>
      </c>
      <c r="F133" s="112" t="s">
        <v>506</v>
      </c>
      <c r="G133" s="112" t="s">
        <v>501</v>
      </c>
      <c r="H133" s="112" t="s">
        <v>498</v>
      </c>
      <c r="I133" s="112" t="s">
        <v>975</v>
      </c>
      <c r="J133" s="259" t="s">
        <v>1186</v>
      </c>
      <c r="K133" s="112" t="s">
        <v>1315</v>
      </c>
      <c r="L133" s="328" t="s">
        <v>1478</v>
      </c>
    </row>
    <row r="134" spans="1:12" s="110" customFormat="1" x14ac:dyDescent="0.25">
      <c r="A134" s="110" t="str">
        <f t="shared" ca="1" si="7"/>
        <v>Adapter do ram aluminiowych, do Kinvaro F-20 zest.</v>
      </c>
      <c r="C134" s="112" t="s">
        <v>8</v>
      </c>
      <c r="D134" s="112" t="s">
        <v>89</v>
      </c>
      <c r="E134" s="130" t="s">
        <v>512</v>
      </c>
      <c r="F134" s="112" t="s">
        <v>507</v>
      </c>
      <c r="G134" s="112" t="s">
        <v>502</v>
      </c>
      <c r="H134" s="112" t="s">
        <v>497</v>
      </c>
      <c r="I134" s="112" t="s">
        <v>976</v>
      </c>
      <c r="J134" s="259" t="s">
        <v>1187</v>
      </c>
      <c r="K134" s="112" t="s">
        <v>1316</v>
      </c>
      <c r="L134" s="328" t="s">
        <v>1479</v>
      </c>
    </row>
    <row r="135" spans="1:12" s="110" customFormat="1" x14ac:dyDescent="0.25">
      <c r="A135" s="110" t="str">
        <f t="shared" ca="1" si="7"/>
        <v>Adapter do ram aluminiowych, do Kinvaro T-76 zest.</v>
      </c>
      <c r="C135" s="112" t="s">
        <v>31</v>
      </c>
      <c r="D135" s="112" t="s">
        <v>88</v>
      </c>
      <c r="E135" s="130" t="s">
        <v>513</v>
      </c>
      <c r="F135" s="112" t="s">
        <v>508</v>
      </c>
      <c r="G135" s="112" t="s">
        <v>503</v>
      </c>
      <c r="H135" s="112" t="s">
        <v>496</v>
      </c>
      <c r="I135" s="112" t="s">
        <v>977</v>
      </c>
      <c r="J135" s="259" t="s">
        <v>1188</v>
      </c>
      <c r="K135" s="112" t="s">
        <v>1317</v>
      </c>
      <c r="L135" s="328" t="s">
        <v>1480</v>
      </c>
    </row>
    <row r="136" spans="1:12" s="110" customFormat="1" x14ac:dyDescent="0.25">
      <c r="A136" s="110" t="str">
        <f t="shared" ca="1" si="7"/>
        <v>Adapter do ram aluminiowych, do Kinvaro T-71 zest.</v>
      </c>
      <c r="C136" s="112" t="s">
        <v>53</v>
      </c>
      <c r="D136" s="112" t="s">
        <v>87</v>
      </c>
      <c r="E136" s="130" t="s">
        <v>510</v>
      </c>
      <c r="F136" s="112" t="s">
        <v>505</v>
      </c>
      <c r="G136" s="112" t="s">
        <v>500</v>
      </c>
      <c r="H136" s="112" t="s">
        <v>495</v>
      </c>
      <c r="I136" s="112" t="s">
        <v>978</v>
      </c>
      <c r="J136" s="259" t="s">
        <v>1189</v>
      </c>
      <c r="K136" s="112" t="s">
        <v>1318</v>
      </c>
      <c r="L136" s="328" t="s">
        <v>1481</v>
      </c>
    </row>
    <row r="137" spans="1:12" s="110" customFormat="1" x14ac:dyDescent="0.25">
      <c r="A137" s="110" t="str">
        <f t="shared" ca="1" si="7"/>
        <v>Adapter do ram aluminiowych, do Kinvaro S-35 zest.</v>
      </c>
      <c r="C137" s="112" t="s">
        <v>57</v>
      </c>
      <c r="D137" s="112" t="s">
        <v>86</v>
      </c>
      <c r="E137" s="130" t="s">
        <v>514</v>
      </c>
      <c r="F137" s="112" t="s">
        <v>509</v>
      </c>
      <c r="G137" s="112" t="s">
        <v>504</v>
      </c>
      <c r="H137" s="112" t="s">
        <v>499</v>
      </c>
      <c r="I137" s="112" t="s">
        <v>979</v>
      </c>
      <c r="J137" s="259" t="s">
        <v>1190</v>
      </c>
      <c r="K137" s="112" t="s">
        <v>1319</v>
      </c>
      <c r="L137" s="328" t="s">
        <v>1482</v>
      </c>
    </row>
    <row r="138" spans="1:12" s="21" customFormat="1" ht="15.75" thickBot="1" x14ac:dyDescent="0.3">
      <c r="A138" s="21" t="str">
        <f t="shared" ca="1" si="7"/>
        <v>podnośnik T-105 prawy</v>
      </c>
      <c r="C138" s="22" t="s">
        <v>24</v>
      </c>
      <c r="D138" s="22" t="s">
        <v>515</v>
      </c>
      <c r="E138" s="231" t="s">
        <v>516</v>
      </c>
      <c r="F138" s="22" t="s">
        <v>517</v>
      </c>
      <c r="G138" s="22" t="s">
        <v>518</v>
      </c>
      <c r="H138" s="22" t="s">
        <v>519</v>
      </c>
      <c r="I138" s="22" t="s">
        <v>980</v>
      </c>
      <c r="J138" s="258" t="s">
        <v>1191</v>
      </c>
      <c r="K138" s="22" t="s">
        <v>1320</v>
      </c>
      <c r="L138" s="327" t="s">
        <v>1483</v>
      </c>
    </row>
    <row r="139" spans="1:12" x14ac:dyDescent="0.25">
      <c r="A139" t="str">
        <f t="shared" ref="A139:A183" ca="1" si="8">OFFSET(B139,0,$B$2,1,1)</f>
        <v>MDF</v>
      </c>
      <c r="C139" t="s">
        <v>150</v>
      </c>
      <c r="D139" t="s">
        <v>315</v>
      </c>
      <c r="E139" s="245" t="s">
        <v>315</v>
      </c>
      <c r="F139" s="245" t="s">
        <v>866</v>
      </c>
      <c r="G139" s="6" t="s">
        <v>395</v>
      </c>
      <c r="H139" s="6" t="s">
        <v>573</v>
      </c>
      <c r="I139" s="6" t="s">
        <v>573</v>
      </c>
      <c r="J139" s="256" t="s">
        <v>1192</v>
      </c>
      <c r="K139" s="6" t="s">
        <v>1321</v>
      </c>
      <c r="L139" s="323" t="s">
        <v>1192</v>
      </c>
    </row>
    <row r="140" spans="1:12" x14ac:dyDescent="0.25">
      <c r="A140" t="str">
        <f t="shared" ca="1" si="8"/>
        <v>płyta wiórowa</v>
      </c>
      <c r="C140" t="s">
        <v>151</v>
      </c>
      <c r="D140" t="s">
        <v>397</v>
      </c>
      <c r="E140" s="246" t="s">
        <v>316</v>
      </c>
      <c r="F140" s="246" t="s">
        <v>832</v>
      </c>
      <c r="G140" s="13" t="s">
        <v>396</v>
      </c>
      <c r="H140" s="13" t="s">
        <v>1082</v>
      </c>
      <c r="I140" s="253" t="s">
        <v>981</v>
      </c>
      <c r="J140" s="257" t="s">
        <v>1193</v>
      </c>
      <c r="K140" s="13" t="s">
        <v>1322</v>
      </c>
      <c r="L140" s="325" t="s">
        <v>1484</v>
      </c>
    </row>
    <row r="141" spans="1:12" x14ac:dyDescent="0.25">
      <c r="A141" t="str">
        <f t="shared" ca="1" si="8"/>
        <v>świerk/sosna</v>
      </c>
      <c r="C141" t="s">
        <v>152</v>
      </c>
      <c r="D141" t="s">
        <v>398</v>
      </c>
      <c r="E141" s="246" t="s">
        <v>729</v>
      </c>
      <c r="F141" s="246" t="s">
        <v>867</v>
      </c>
      <c r="G141" s="13" t="s">
        <v>399</v>
      </c>
      <c r="H141" s="13" t="s">
        <v>400</v>
      </c>
      <c r="I141" s="13" t="s">
        <v>982</v>
      </c>
      <c r="J141" s="257" t="s">
        <v>1194</v>
      </c>
      <c r="K141" s="13" t="s">
        <v>1323</v>
      </c>
      <c r="L141" s="325" t="s">
        <v>1485</v>
      </c>
    </row>
    <row r="142" spans="1:12" x14ac:dyDescent="0.25">
      <c r="A142" t="str">
        <f t="shared" ca="1" si="8"/>
        <v>szkło</v>
      </c>
      <c r="C142" t="s">
        <v>111</v>
      </c>
      <c r="D142" t="s">
        <v>645</v>
      </c>
      <c r="E142" s="246" t="s">
        <v>317</v>
      </c>
      <c r="F142" s="246" t="s">
        <v>401</v>
      </c>
      <c r="G142" s="13" t="s">
        <v>402</v>
      </c>
      <c r="H142" s="13" t="s">
        <v>403</v>
      </c>
      <c r="I142" s="13" t="s">
        <v>983</v>
      </c>
      <c r="J142" s="257" t="s">
        <v>1195</v>
      </c>
      <c r="K142" s="13" t="s">
        <v>1324</v>
      </c>
      <c r="L142" s="325" t="s">
        <v>1486</v>
      </c>
    </row>
    <row r="143" spans="1:12" x14ac:dyDescent="0.25">
      <c r="A143" t="str">
        <f t="shared" ca="1" si="8"/>
        <v>-----------------</v>
      </c>
      <c r="C143" s="142" t="s">
        <v>607</v>
      </c>
      <c r="D143" s="142" t="s">
        <v>607</v>
      </c>
      <c r="E143" s="142" t="s">
        <v>607</v>
      </c>
      <c r="F143" s="142" t="s">
        <v>607</v>
      </c>
      <c r="G143" s="142" t="s">
        <v>607</v>
      </c>
      <c r="H143" s="142" t="s">
        <v>607</v>
      </c>
      <c r="I143" s="142" t="s">
        <v>607</v>
      </c>
      <c r="J143" s="257"/>
      <c r="K143" s="13"/>
      <c r="L143" s="344" t="s">
        <v>607</v>
      </c>
    </row>
    <row r="144" spans="1:12" x14ac:dyDescent="0.25">
      <c r="A144" t="str">
        <f t="shared" ca="1" si="8"/>
        <v>afrormosia</v>
      </c>
      <c r="C144" s="143" t="s">
        <v>1049</v>
      </c>
      <c r="D144" s="143" t="s">
        <v>608</v>
      </c>
      <c r="E144" s="246" t="s">
        <v>608</v>
      </c>
      <c r="F144" s="246" t="s">
        <v>608</v>
      </c>
      <c r="G144" s="13" t="s">
        <v>1049</v>
      </c>
      <c r="H144" s="143" t="s">
        <v>1049</v>
      </c>
      <c r="I144" s="13" t="s">
        <v>608</v>
      </c>
      <c r="J144" s="257"/>
      <c r="K144" s="13" t="s">
        <v>1325</v>
      </c>
      <c r="L144" s="325" t="s">
        <v>1487</v>
      </c>
    </row>
    <row r="145" spans="1:12" x14ac:dyDescent="0.25">
      <c r="A145" t="str">
        <f t="shared" ca="1" si="8"/>
        <v>klon</v>
      </c>
      <c r="C145" t="s">
        <v>609</v>
      </c>
      <c r="D145" s="143" t="s">
        <v>646</v>
      </c>
      <c r="E145" s="246" t="s">
        <v>730</v>
      </c>
      <c r="F145" s="246" t="s">
        <v>833</v>
      </c>
      <c r="G145" s="13" t="s">
        <v>1032</v>
      </c>
      <c r="H145" s="13" t="s">
        <v>1060</v>
      </c>
      <c r="I145" s="13" t="s">
        <v>984</v>
      </c>
      <c r="J145" s="255" t="s">
        <v>1196</v>
      </c>
      <c r="K145" s="13" t="s">
        <v>1326</v>
      </c>
      <c r="L145" s="325" t="s">
        <v>1488</v>
      </c>
    </row>
    <row r="146" spans="1:12" x14ac:dyDescent="0.25">
      <c r="A146" t="str">
        <f t="shared" ca="1" si="8"/>
        <v>lipa amerykańska</v>
      </c>
      <c r="C146" t="s">
        <v>610</v>
      </c>
      <c r="D146" s="143" t="s">
        <v>647</v>
      </c>
      <c r="E146" s="246" t="s">
        <v>731</v>
      </c>
      <c r="F146" s="246" t="s">
        <v>834</v>
      </c>
      <c r="G146" s="13" t="s">
        <v>1038</v>
      </c>
      <c r="H146" s="13" t="s">
        <v>1061</v>
      </c>
      <c r="I146" s="13" t="s">
        <v>985</v>
      </c>
      <c r="J146" s="255" t="s">
        <v>1197</v>
      </c>
      <c r="K146" s="13" t="s">
        <v>1327</v>
      </c>
      <c r="L146" s="325" t="s">
        <v>1489</v>
      </c>
    </row>
    <row r="147" spans="1:12" x14ac:dyDescent="0.25">
      <c r="A147" t="str">
        <f t="shared" ca="1" si="8"/>
        <v>jabłoń</v>
      </c>
      <c r="C147" t="s">
        <v>611</v>
      </c>
      <c r="D147" s="143" t="s">
        <v>648</v>
      </c>
      <c r="E147" s="246" t="s">
        <v>732</v>
      </c>
      <c r="F147" s="246" t="s">
        <v>835</v>
      </c>
      <c r="G147" s="13" t="s">
        <v>1039</v>
      </c>
      <c r="H147" s="13" t="s">
        <v>1062</v>
      </c>
      <c r="I147" s="13" t="s">
        <v>986</v>
      </c>
      <c r="J147" s="257" t="s">
        <v>1198</v>
      </c>
      <c r="K147" s="13" t="s">
        <v>1328</v>
      </c>
      <c r="L147" s="325" t="s">
        <v>1490</v>
      </c>
    </row>
    <row r="148" spans="1:12" x14ac:dyDescent="0.25">
      <c r="A148" t="str">
        <f t="shared" ca="1" si="8"/>
        <v>balsa</v>
      </c>
      <c r="C148" t="s">
        <v>612</v>
      </c>
      <c r="D148" s="143" t="s">
        <v>612</v>
      </c>
      <c r="E148" s="246" t="s">
        <v>733</v>
      </c>
      <c r="F148" s="246" t="s">
        <v>612</v>
      </c>
      <c r="G148" s="13" t="s">
        <v>612</v>
      </c>
      <c r="H148" s="13" t="s">
        <v>612</v>
      </c>
      <c r="I148" s="13" t="s">
        <v>612</v>
      </c>
      <c r="J148" s="257"/>
      <c r="K148" s="13" t="s">
        <v>1329</v>
      </c>
      <c r="L148" s="325" t="s">
        <v>1491</v>
      </c>
    </row>
    <row r="149" spans="1:12" x14ac:dyDescent="0.25">
      <c r="A149" t="str">
        <f t="shared" ca="1" si="8"/>
        <v>bambus</v>
      </c>
      <c r="C149" t="s">
        <v>613</v>
      </c>
      <c r="D149" s="143" t="s">
        <v>649</v>
      </c>
      <c r="E149" s="246" t="s">
        <v>734</v>
      </c>
      <c r="F149" s="246" t="s">
        <v>836</v>
      </c>
      <c r="G149" s="13" t="s">
        <v>1040</v>
      </c>
      <c r="H149" s="13" t="s">
        <v>1063</v>
      </c>
      <c r="I149" s="13" t="s">
        <v>734</v>
      </c>
      <c r="J149" s="257" t="s">
        <v>1199</v>
      </c>
      <c r="K149" s="13" t="s">
        <v>1330</v>
      </c>
      <c r="L149" s="325" t="s">
        <v>1492</v>
      </c>
    </row>
    <row r="150" spans="1:12" x14ac:dyDescent="0.25">
      <c r="A150" t="str">
        <f t="shared" ca="1" si="8"/>
        <v>brzoza</v>
      </c>
      <c r="C150" t="s">
        <v>614</v>
      </c>
      <c r="D150" s="143" t="s">
        <v>650</v>
      </c>
      <c r="E150" s="246" t="s">
        <v>735</v>
      </c>
      <c r="F150" s="246" t="s">
        <v>837</v>
      </c>
      <c r="G150" s="13" t="s">
        <v>1041</v>
      </c>
      <c r="H150" s="13" t="s">
        <v>1064</v>
      </c>
      <c r="I150" s="13" t="s">
        <v>987</v>
      </c>
      <c r="J150" s="255" t="s">
        <v>1200</v>
      </c>
      <c r="K150" s="13" t="s">
        <v>1331</v>
      </c>
      <c r="L150" s="325" t="s">
        <v>1493</v>
      </c>
    </row>
    <row r="151" spans="1:12" x14ac:dyDescent="0.25">
      <c r="A151" t="str">
        <f t="shared" ca="1" si="8"/>
        <v>grusza</v>
      </c>
      <c r="C151" t="s">
        <v>615</v>
      </c>
      <c r="D151" s="143" t="s">
        <v>651</v>
      </c>
      <c r="E151" s="246" t="s">
        <v>736</v>
      </c>
      <c r="F151" s="246" t="s">
        <v>838</v>
      </c>
      <c r="G151" s="13" t="s">
        <v>1042</v>
      </c>
      <c r="H151" s="13" t="s">
        <v>1065</v>
      </c>
      <c r="I151" s="13" t="s">
        <v>988</v>
      </c>
      <c r="J151" s="257" t="s">
        <v>1201</v>
      </c>
      <c r="K151" s="13" t="s">
        <v>1332</v>
      </c>
      <c r="L151" s="325" t="s">
        <v>1494</v>
      </c>
    </row>
    <row r="152" spans="1:12" x14ac:dyDescent="0.25">
      <c r="A152" t="str">
        <f t="shared" ca="1" si="8"/>
        <v>buk</v>
      </c>
      <c r="C152" t="s">
        <v>616</v>
      </c>
      <c r="D152" s="143" t="s">
        <v>652</v>
      </c>
      <c r="E152" s="246" t="s">
        <v>737</v>
      </c>
      <c r="F152" s="246" t="s">
        <v>839</v>
      </c>
      <c r="G152" s="13" t="s">
        <v>1033</v>
      </c>
      <c r="H152" s="13" t="s">
        <v>1066</v>
      </c>
      <c r="I152" s="13" t="s">
        <v>989</v>
      </c>
      <c r="J152" s="255" t="s">
        <v>1202</v>
      </c>
      <c r="K152" s="13" t="s">
        <v>1333</v>
      </c>
      <c r="L152" s="325" t="s">
        <v>1495</v>
      </c>
    </row>
    <row r="153" spans="1:12" x14ac:dyDescent="0.25">
      <c r="A153" t="str">
        <f t="shared" ca="1" si="8"/>
        <v>daglezja</v>
      </c>
      <c r="C153" t="s">
        <v>617</v>
      </c>
      <c r="D153" s="143" t="s">
        <v>653</v>
      </c>
      <c r="E153" s="246" t="s">
        <v>738</v>
      </c>
      <c r="F153" s="246" t="s">
        <v>840</v>
      </c>
      <c r="G153" s="13" t="s">
        <v>1036</v>
      </c>
      <c r="H153" s="13" t="s">
        <v>990</v>
      </c>
      <c r="I153" s="13" t="s">
        <v>990</v>
      </c>
      <c r="J153" s="257"/>
      <c r="K153" s="13" t="s">
        <v>1334</v>
      </c>
      <c r="L153" s="325" t="s">
        <v>1496</v>
      </c>
    </row>
    <row r="154" spans="1:12" x14ac:dyDescent="0.25">
      <c r="A154" t="str">
        <f t="shared" ca="1" si="8"/>
        <v>heban</v>
      </c>
      <c r="C154" t="s">
        <v>618</v>
      </c>
      <c r="D154" s="143" t="s">
        <v>654</v>
      </c>
      <c r="E154" s="246" t="s">
        <v>739</v>
      </c>
      <c r="F154" s="246" t="s">
        <v>841</v>
      </c>
      <c r="G154" s="13" t="s">
        <v>1043</v>
      </c>
      <c r="H154" s="13" t="s">
        <v>1067</v>
      </c>
      <c r="I154" s="13" t="s">
        <v>991</v>
      </c>
      <c r="J154" s="276" t="s">
        <v>1203</v>
      </c>
      <c r="K154" s="13" t="s">
        <v>1335</v>
      </c>
      <c r="L154" s="325" t="s">
        <v>1497</v>
      </c>
    </row>
    <row r="155" spans="1:12" x14ac:dyDescent="0.25">
      <c r="A155" t="str">
        <f t="shared" ca="1" si="8"/>
        <v>olcha</v>
      </c>
      <c r="C155" t="s">
        <v>619</v>
      </c>
      <c r="D155" s="143" t="s">
        <v>655</v>
      </c>
      <c r="E155" s="246" t="s">
        <v>740</v>
      </c>
      <c r="F155" s="246" t="s">
        <v>842</v>
      </c>
      <c r="G155" s="13" t="s">
        <v>1044</v>
      </c>
      <c r="H155" s="13" t="s">
        <v>1068</v>
      </c>
      <c r="I155" s="13" t="s">
        <v>992</v>
      </c>
      <c r="J155" s="257" t="s">
        <v>1204</v>
      </c>
      <c r="K155" s="13" t="s">
        <v>1336</v>
      </c>
      <c r="L155" s="325" t="s">
        <v>1498</v>
      </c>
    </row>
    <row r="156" spans="1:12" x14ac:dyDescent="0.25">
      <c r="A156" t="str">
        <f t="shared" ca="1" si="8"/>
        <v>jesion</v>
      </c>
      <c r="C156" t="s">
        <v>620</v>
      </c>
      <c r="D156" s="143" t="s">
        <v>656</v>
      </c>
      <c r="E156" s="246" t="s">
        <v>741</v>
      </c>
      <c r="F156" s="246" t="s">
        <v>843</v>
      </c>
      <c r="G156" s="13" t="s">
        <v>1034</v>
      </c>
      <c r="H156" s="13" t="s">
        <v>1069</v>
      </c>
      <c r="I156" s="13" t="s">
        <v>993</v>
      </c>
      <c r="J156" s="255" t="s">
        <v>1205</v>
      </c>
      <c r="K156" s="13" t="s">
        <v>1337</v>
      </c>
      <c r="L156" s="325" t="s">
        <v>1499</v>
      </c>
    </row>
    <row r="157" spans="1:12" x14ac:dyDescent="0.25">
      <c r="A157" t="str">
        <f ca="1">OFFSET(B157,0,$B$2,1,1)</f>
        <v>osika</v>
      </c>
      <c r="C157" t="s">
        <v>621</v>
      </c>
      <c r="D157" s="143" t="s">
        <v>657</v>
      </c>
      <c r="E157" s="246" t="s">
        <v>742</v>
      </c>
      <c r="F157" s="246" t="s">
        <v>844</v>
      </c>
      <c r="G157" s="13" t="s">
        <v>1045</v>
      </c>
      <c r="H157" s="13" t="s">
        <v>1070</v>
      </c>
      <c r="I157" s="13" t="s">
        <v>994</v>
      </c>
      <c r="J157" s="257" t="s">
        <v>1206</v>
      </c>
      <c r="K157" s="13" t="s">
        <v>1338</v>
      </c>
      <c r="L157" s="325" t="s">
        <v>1500</v>
      </c>
    </row>
    <row r="158" spans="1:12" x14ac:dyDescent="0.25">
      <c r="A158" t="str">
        <f t="shared" ca="1" si="8"/>
        <v>świerk</v>
      </c>
      <c r="C158" s="143" t="s">
        <v>622</v>
      </c>
      <c r="D158" s="143" t="s">
        <v>658</v>
      </c>
      <c r="E158" s="246" t="s">
        <v>743</v>
      </c>
      <c r="F158" s="246" t="s">
        <v>845</v>
      </c>
      <c r="G158" s="13" t="s">
        <v>1028</v>
      </c>
      <c r="H158" s="13" t="s">
        <v>1071</v>
      </c>
      <c r="I158" s="13" t="s">
        <v>995</v>
      </c>
      <c r="J158" s="257" t="s">
        <v>1207</v>
      </c>
      <c r="K158" s="13" t="s">
        <v>1339</v>
      </c>
      <c r="L158" s="325" t="s">
        <v>1501</v>
      </c>
    </row>
    <row r="159" spans="1:12" x14ac:dyDescent="0.25">
      <c r="A159" t="str">
        <f t="shared" ca="1" si="8"/>
        <v>okume</v>
      </c>
      <c r="C159" t="s">
        <v>623</v>
      </c>
      <c r="D159" s="143" t="s">
        <v>659</v>
      </c>
      <c r="E159" s="246" t="s">
        <v>744</v>
      </c>
      <c r="F159" s="246" t="s">
        <v>846</v>
      </c>
      <c r="G159" s="13" t="s">
        <v>744</v>
      </c>
      <c r="H159" s="13" t="s">
        <v>1072</v>
      </c>
      <c r="I159" s="13" t="s">
        <v>996</v>
      </c>
      <c r="J159" s="257"/>
      <c r="K159" s="13" t="s">
        <v>1340</v>
      </c>
      <c r="L159" s="325" t="s">
        <v>1502</v>
      </c>
    </row>
    <row r="160" spans="1:12" x14ac:dyDescent="0.25">
      <c r="A160" t="str">
        <f t="shared" ca="1" si="8"/>
        <v>choina (hemlock)</v>
      </c>
      <c r="C160" s="143" t="s">
        <v>624</v>
      </c>
      <c r="D160" s="143" t="s">
        <v>624</v>
      </c>
      <c r="E160" s="246" t="s">
        <v>624</v>
      </c>
      <c r="F160" s="246" t="s">
        <v>847</v>
      </c>
      <c r="G160" s="13" t="s">
        <v>624</v>
      </c>
      <c r="H160" s="13" t="s">
        <v>624</v>
      </c>
      <c r="I160" s="254" t="s">
        <v>624</v>
      </c>
      <c r="J160" s="257"/>
      <c r="K160" s="13" t="s">
        <v>1341</v>
      </c>
      <c r="L160" s="325" t="s">
        <v>1503</v>
      </c>
    </row>
    <row r="161" spans="1:12" x14ac:dyDescent="0.25">
      <c r="A161" t="str">
        <f t="shared" ca="1" si="8"/>
        <v>iroko</v>
      </c>
      <c r="C161" s="143" t="s">
        <v>625</v>
      </c>
      <c r="D161" s="143" t="s">
        <v>625</v>
      </c>
      <c r="E161" s="246" t="s">
        <v>625</v>
      </c>
      <c r="F161" s="246" t="s">
        <v>625</v>
      </c>
      <c r="G161" s="13" t="s">
        <v>625</v>
      </c>
      <c r="H161" s="13" t="s">
        <v>625</v>
      </c>
      <c r="I161" s="13" t="s">
        <v>997</v>
      </c>
      <c r="J161" s="257"/>
      <c r="K161" s="13" t="s">
        <v>1342</v>
      </c>
      <c r="L161" s="325" t="s">
        <v>1504</v>
      </c>
    </row>
    <row r="162" spans="1:12" x14ac:dyDescent="0.25">
      <c r="A162" t="str">
        <f t="shared" ca="1" si="8"/>
        <v>kasztan</v>
      </c>
      <c r="C162" t="s">
        <v>626</v>
      </c>
      <c r="D162" s="143" t="s">
        <v>660</v>
      </c>
      <c r="E162" s="246" t="s">
        <v>745</v>
      </c>
      <c r="F162" s="246" t="s">
        <v>848</v>
      </c>
      <c r="G162" s="13" t="s">
        <v>1046</v>
      </c>
      <c r="H162" s="13" t="s">
        <v>1073</v>
      </c>
      <c r="I162" s="13" t="s">
        <v>998</v>
      </c>
      <c r="J162" s="257" t="s">
        <v>1208</v>
      </c>
      <c r="K162" s="13" t="s">
        <v>1343</v>
      </c>
      <c r="L162" s="325" t="s">
        <v>1505</v>
      </c>
    </row>
    <row r="163" spans="1:12" x14ac:dyDescent="0.25">
      <c r="A163" t="str">
        <f t="shared" ca="1" si="8"/>
        <v>sosna</v>
      </c>
      <c r="C163" t="s">
        <v>627</v>
      </c>
      <c r="D163" s="143" t="s">
        <v>661</v>
      </c>
      <c r="E163" s="246" t="s">
        <v>746</v>
      </c>
      <c r="F163" s="246" t="s">
        <v>849</v>
      </c>
      <c r="G163" s="13" t="s">
        <v>1031</v>
      </c>
      <c r="H163" s="13" t="s">
        <v>849</v>
      </c>
      <c r="I163" s="13" t="s">
        <v>999</v>
      </c>
      <c r="J163" s="257" t="s">
        <v>1209</v>
      </c>
      <c r="K163" s="13" t="s">
        <v>1344</v>
      </c>
      <c r="L163" s="325" t="s">
        <v>1506</v>
      </c>
    </row>
    <row r="164" spans="1:12" x14ac:dyDescent="0.25">
      <c r="A164" t="str">
        <f t="shared" ca="1" si="8"/>
        <v>czereśnia</v>
      </c>
      <c r="C164" t="s">
        <v>628</v>
      </c>
      <c r="D164" s="143" t="s">
        <v>662</v>
      </c>
      <c r="E164" s="246" t="s">
        <v>747</v>
      </c>
      <c r="F164" s="246" t="s">
        <v>850</v>
      </c>
      <c r="G164" s="13" t="s">
        <v>1047</v>
      </c>
      <c r="H164" s="13" t="s">
        <v>1074</v>
      </c>
      <c r="I164" s="13" t="s">
        <v>1000</v>
      </c>
      <c r="J164" s="257" t="s">
        <v>1210</v>
      </c>
      <c r="K164" s="13" t="s">
        <v>1345</v>
      </c>
      <c r="L164" s="325" t="s">
        <v>1507</v>
      </c>
    </row>
    <row r="165" spans="1:12" x14ac:dyDescent="0.25">
      <c r="A165" t="str">
        <f t="shared" ca="1" si="8"/>
        <v>modrzew</v>
      </c>
      <c r="C165" t="s">
        <v>629</v>
      </c>
      <c r="D165" s="143" t="s">
        <v>663</v>
      </c>
      <c r="E165" s="246" t="s">
        <v>748</v>
      </c>
      <c r="F165" s="246" t="s">
        <v>851</v>
      </c>
      <c r="G165" s="13" t="s">
        <v>1030</v>
      </c>
      <c r="H165" s="13" t="s">
        <v>1075</v>
      </c>
      <c r="I165" s="13" t="s">
        <v>1001</v>
      </c>
      <c r="J165" s="257" t="s">
        <v>1211</v>
      </c>
      <c r="K165" s="13" t="s">
        <v>1346</v>
      </c>
      <c r="L165" s="325" t="s">
        <v>1508</v>
      </c>
    </row>
    <row r="166" spans="1:12" x14ac:dyDescent="0.25">
      <c r="A166" t="str">
        <f t="shared" ca="1" si="8"/>
        <v>mahoń</v>
      </c>
      <c r="C166" s="143" t="s">
        <v>630</v>
      </c>
      <c r="D166" s="143" t="s">
        <v>664</v>
      </c>
      <c r="E166" s="246" t="s">
        <v>749</v>
      </c>
      <c r="F166" s="246" t="s">
        <v>852</v>
      </c>
      <c r="G166" s="13" t="s">
        <v>1027</v>
      </c>
      <c r="H166" s="13" t="s">
        <v>1076</v>
      </c>
      <c r="I166" s="13" t="s">
        <v>1002</v>
      </c>
      <c r="J166" s="257" t="s">
        <v>1212</v>
      </c>
      <c r="K166" s="13" t="s">
        <v>1347</v>
      </c>
      <c r="L166" s="325" t="s">
        <v>1509</v>
      </c>
    </row>
    <row r="167" spans="1:12" x14ac:dyDescent="0.25">
      <c r="A167" t="str">
        <f t="shared" ca="1" si="8"/>
        <v>sekwoja</v>
      </c>
      <c r="C167" t="s">
        <v>631</v>
      </c>
      <c r="D167" s="143" t="s">
        <v>665</v>
      </c>
      <c r="E167" s="246" t="s">
        <v>750</v>
      </c>
      <c r="F167" s="246" t="s">
        <v>853</v>
      </c>
      <c r="G167" s="13" t="s">
        <v>1048</v>
      </c>
      <c r="H167" s="13" t="s">
        <v>1077</v>
      </c>
      <c r="I167" s="13" t="s">
        <v>1003</v>
      </c>
      <c r="J167" s="257" t="s">
        <v>1213</v>
      </c>
      <c r="K167" s="13" t="s">
        <v>1348</v>
      </c>
      <c r="L167" s="325" t="s">
        <v>1510</v>
      </c>
    </row>
    <row r="168" spans="1:12" x14ac:dyDescent="0.25">
      <c r="A168" t="str">
        <f t="shared" ca="1" si="8"/>
        <v>topola</v>
      </c>
      <c r="C168" t="s">
        <v>632</v>
      </c>
      <c r="D168" s="143" t="s">
        <v>666</v>
      </c>
      <c r="E168" s="246" t="s">
        <v>751</v>
      </c>
      <c r="F168" s="246" t="s">
        <v>854</v>
      </c>
      <c r="G168" s="13" t="s">
        <v>1050</v>
      </c>
      <c r="H168" s="13" t="s">
        <v>1070</v>
      </c>
      <c r="I168" s="13" t="s">
        <v>994</v>
      </c>
      <c r="J168" s="257" t="s">
        <v>1214</v>
      </c>
      <c r="K168" s="13" t="s">
        <v>1349</v>
      </c>
      <c r="L168" s="325" t="s">
        <v>1511</v>
      </c>
    </row>
    <row r="169" spans="1:12" x14ac:dyDescent="0.25">
      <c r="A169" t="str">
        <f t="shared" ca="1" si="8"/>
        <v>topola kanadyjska</v>
      </c>
      <c r="C169" t="s">
        <v>633</v>
      </c>
      <c r="D169" s="143" t="s">
        <v>667</v>
      </c>
      <c r="E169" s="246" t="s">
        <v>752</v>
      </c>
      <c r="F169" s="246" t="s">
        <v>855</v>
      </c>
      <c r="G169" s="13" t="s">
        <v>1051</v>
      </c>
      <c r="H169" s="13" t="s">
        <v>1078</v>
      </c>
      <c r="I169" s="13" t="s">
        <v>1004</v>
      </c>
      <c r="J169" s="257" t="s">
        <v>1215</v>
      </c>
      <c r="K169" s="13" t="s">
        <v>1350</v>
      </c>
      <c r="L169" s="325" t="s">
        <v>1512</v>
      </c>
    </row>
    <row r="170" spans="1:12" x14ac:dyDescent="0.25">
      <c r="A170" t="str">
        <f t="shared" ca="1" si="8"/>
        <v>hikora</v>
      </c>
      <c r="C170" s="143" t="s">
        <v>634</v>
      </c>
      <c r="D170" s="143" t="s">
        <v>668</v>
      </c>
      <c r="E170" s="246" t="s">
        <v>753</v>
      </c>
      <c r="F170" s="246" t="s">
        <v>668</v>
      </c>
      <c r="G170" s="13" t="s">
        <v>1052</v>
      </c>
      <c r="H170" s="13" t="s">
        <v>1079</v>
      </c>
      <c r="I170" s="13" t="s">
        <v>1005</v>
      </c>
      <c r="J170" s="257"/>
      <c r="K170" s="13" t="s">
        <v>1351</v>
      </c>
      <c r="L170" s="325" t="s">
        <v>1513</v>
      </c>
    </row>
    <row r="171" spans="1:12" x14ac:dyDescent="0.25">
      <c r="A171" t="str">
        <f t="shared" ca="1" si="8"/>
        <v>platan</v>
      </c>
      <c r="C171" t="s">
        <v>635</v>
      </c>
      <c r="D171" s="143" t="s">
        <v>669</v>
      </c>
      <c r="E171" s="246" t="s">
        <v>1059</v>
      </c>
      <c r="F171" s="246" t="s">
        <v>856</v>
      </c>
      <c r="G171" s="13" t="s">
        <v>635</v>
      </c>
      <c r="H171" s="13" t="s">
        <v>1080</v>
      </c>
      <c r="I171" s="13" t="s">
        <v>1006</v>
      </c>
      <c r="J171" s="257"/>
      <c r="K171" s="13" t="s">
        <v>1352</v>
      </c>
      <c r="L171" s="325" t="s">
        <v>1514</v>
      </c>
    </row>
    <row r="172" spans="1:12" x14ac:dyDescent="0.25">
      <c r="A172" t="str">
        <f t="shared" ca="1" si="8"/>
        <v>gwajak</v>
      </c>
      <c r="C172" s="143" t="s">
        <v>636</v>
      </c>
      <c r="D172" s="143" t="s">
        <v>670</v>
      </c>
      <c r="E172" s="246" t="s">
        <v>670</v>
      </c>
      <c r="F172" s="246" t="s">
        <v>857</v>
      </c>
      <c r="G172" s="13" t="s">
        <v>1053</v>
      </c>
      <c r="H172" s="13" t="s">
        <v>1053</v>
      </c>
      <c r="I172" s="13" t="s">
        <v>1007</v>
      </c>
      <c r="J172" s="257"/>
      <c r="K172" s="13" t="s">
        <v>1353</v>
      </c>
      <c r="L172" s="325" t="s">
        <v>1515</v>
      </c>
    </row>
    <row r="173" spans="1:12" x14ac:dyDescent="0.25">
      <c r="A173" t="str">
        <f t="shared" ca="1" si="8"/>
        <v>ramin</v>
      </c>
      <c r="C173" t="s">
        <v>637</v>
      </c>
      <c r="D173" t="s">
        <v>637</v>
      </c>
      <c r="E173" s="246" t="s">
        <v>26</v>
      </c>
      <c r="F173" s="246" t="s">
        <v>858</v>
      </c>
      <c r="G173" s="13" t="s">
        <v>637</v>
      </c>
      <c r="H173" s="13" t="s">
        <v>1081</v>
      </c>
      <c r="I173" s="13" t="s">
        <v>1008</v>
      </c>
      <c r="J173" s="257"/>
      <c r="K173" s="13" t="s">
        <v>1354</v>
      </c>
      <c r="L173" s="325" t="s">
        <v>1516</v>
      </c>
    </row>
    <row r="174" spans="1:12" x14ac:dyDescent="0.25">
      <c r="A174" t="str">
        <f t="shared" ca="1" si="8"/>
        <v>robinia (akacja)</v>
      </c>
      <c r="C174" t="s">
        <v>638</v>
      </c>
      <c r="D174" s="143" t="s">
        <v>671</v>
      </c>
      <c r="E174" s="246" t="s">
        <v>859</v>
      </c>
      <c r="F174" s="246" t="s">
        <v>859</v>
      </c>
      <c r="G174" s="13" t="s">
        <v>1035</v>
      </c>
      <c r="H174" s="13" t="s">
        <v>859</v>
      </c>
      <c r="I174" s="13" t="s">
        <v>859</v>
      </c>
      <c r="J174" s="257"/>
      <c r="K174" s="13" t="s">
        <v>1355</v>
      </c>
      <c r="L174" s="325" t="s">
        <v>1517</v>
      </c>
    </row>
    <row r="175" spans="1:12" x14ac:dyDescent="0.25">
      <c r="A175" t="str">
        <f t="shared" ca="1" si="8"/>
        <v>płyta wiórowa</v>
      </c>
      <c r="C175" s="143" t="s">
        <v>151</v>
      </c>
      <c r="D175" s="143" t="s">
        <v>672</v>
      </c>
      <c r="E175" s="246" t="s">
        <v>754</v>
      </c>
      <c r="F175" s="246" t="s">
        <v>832</v>
      </c>
      <c r="G175" s="13" t="s">
        <v>396</v>
      </c>
      <c r="H175" s="13" t="s">
        <v>1082</v>
      </c>
      <c r="I175" s="13" t="s">
        <v>1009</v>
      </c>
      <c r="J175" s="257" t="s">
        <v>1193</v>
      </c>
      <c r="K175" s="13" t="s">
        <v>1322</v>
      </c>
      <c r="L175" s="325" t="s">
        <v>1484</v>
      </c>
    </row>
    <row r="176" spans="1:12" x14ac:dyDescent="0.25">
      <c r="A176" t="str">
        <f t="shared" ca="1" si="8"/>
        <v>jodła</v>
      </c>
      <c r="C176" t="s">
        <v>639</v>
      </c>
      <c r="D176" s="143" t="s">
        <v>673</v>
      </c>
      <c r="E176" s="246" t="s">
        <v>1058</v>
      </c>
      <c r="F176" s="246" t="s">
        <v>860</v>
      </c>
      <c r="G176" s="13" t="s">
        <v>1029</v>
      </c>
      <c r="H176" s="13" t="s">
        <v>995</v>
      </c>
      <c r="I176" s="13" t="s">
        <v>995</v>
      </c>
      <c r="J176" s="257" t="s">
        <v>1209</v>
      </c>
      <c r="K176" s="13" t="s">
        <v>1356</v>
      </c>
      <c r="L176" s="325" t="s">
        <v>1518</v>
      </c>
    </row>
    <row r="177" spans="1:12" x14ac:dyDescent="0.25">
      <c r="A177" t="str">
        <f t="shared" ca="1" si="8"/>
        <v>teak</v>
      </c>
      <c r="C177" s="143" t="s">
        <v>640</v>
      </c>
      <c r="D177" s="143" t="s">
        <v>640</v>
      </c>
      <c r="E177" s="246" t="s">
        <v>640</v>
      </c>
      <c r="F177" s="246" t="s">
        <v>640</v>
      </c>
      <c r="G177" s="13" t="s">
        <v>640</v>
      </c>
      <c r="H177" s="13" t="s">
        <v>1010</v>
      </c>
      <c r="I177" s="13" t="s">
        <v>1010</v>
      </c>
      <c r="J177" s="257" t="s">
        <v>1216</v>
      </c>
      <c r="K177" s="13" t="s">
        <v>1357</v>
      </c>
      <c r="L177" s="325" t="s">
        <v>1519</v>
      </c>
    </row>
    <row r="178" spans="1:12" x14ac:dyDescent="0.25">
      <c r="A178" t="str">
        <f t="shared" ca="1" si="8"/>
        <v>wiąz</v>
      </c>
      <c r="C178" t="s">
        <v>641</v>
      </c>
      <c r="D178" s="143" t="s">
        <v>674</v>
      </c>
      <c r="E178" s="246" t="s">
        <v>755</v>
      </c>
      <c r="F178" s="246" t="s">
        <v>861</v>
      </c>
      <c r="G178" s="13" t="s">
        <v>1054</v>
      </c>
      <c r="H178" s="13" t="s">
        <v>861</v>
      </c>
      <c r="I178" s="13" t="s">
        <v>861</v>
      </c>
      <c r="J178" s="257" t="s">
        <v>1217</v>
      </c>
      <c r="K178" s="13" t="s">
        <v>1358</v>
      </c>
      <c r="L178" s="325" t="s">
        <v>1520</v>
      </c>
    </row>
    <row r="179" spans="1:12" x14ac:dyDescent="0.25">
      <c r="A179" t="str">
        <f t="shared" ca="1" si="8"/>
        <v>orzech</v>
      </c>
      <c r="C179" t="s">
        <v>1083</v>
      </c>
      <c r="D179" s="143" t="s">
        <v>675</v>
      </c>
      <c r="E179" s="246" t="s">
        <v>756</v>
      </c>
      <c r="F179" s="246" t="s">
        <v>862</v>
      </c>
      <c r="G179" s="13" t="s">
        <v>1055</v>
      </c>
      <c r="H179" s="13" t="s">
        <v>1084</v>
      </c>
      <c r="I179" s="13" t="s">
        <v>1011</v>
      </c>
      <c r="J179" s="257" t="s">
        <v>1218</v>
      </c>
      <c r="K179" s="13" t="s">
        <v>1359</v>
      </c>
      <c r="L179" s="325" t="s">
        <v>1521</v>
      </c>
    </row>
    <row r="180" spans="1:12" x14ac:dyDescent="0.25">
      <c r="A180" t="str">
        <f t="shared" ca="1" si="8"/>
        <v>wierzba</v>
      </c>
      <c r="C180" t="s">
        <v>642</v>
      </c>
      <c r="D180" s="143" t="s">
        <v>676</v>
      </c>
      <c r="E180" s="246" t="s">
        <v>757</v>
      </c>
      <c r="F180" s="246" t="s">
        <v>863</v>
      </c>
      <c r="G180" s="13" t="s">
        <v>1056</v>
      </c>
      <c r="H180" s="13" t="s">
        <v>1085</v>
      </c>
      <c r="I180" s="13" t="s">
        <v>1012</v>
      </c>
      <c r="J180" s="255" t="s">
        <v>1219</v>
      </c>
      <c r="K180" s="13" t="s">
        <v>1360</v>
      </c>
      <c r="L180" s="325" t="s">
        <v>1522</v>
      </c>
    </row>
    <row r="181" spans="1:12" x14ac:dyDescent="0.25">
      <c r="A181" t="str">
        <f t="shared" ca="1" si="8"/>
        <v>cedr</v>
      </c>
      <c r="C181" t="s">
        <v>643</v>
      </c>
      <c r="D181" s="143" t="s">
        <v>677</v>
      </c>
      <c r="E181" s="246" t="s">
        <v>758</v>
      </c>
      <c r="F181" s="246" t="s">
        <v>864</v>
      </c>
      <c r="G181" s="13" t="s">
        <v>1037</v>
      </c>
      <c r="H181" s="13" t="s">
        <v>864</v>
      </c>
      <c r="I181" s="13" t="s">
        <v>1013</v>
      </c>
      <c r="J181" s="255" t="s">
        <v>1220</v>
      </c>
      <c r="K181" s="13" t="s">
        <v>1361</v>
      </c>
      <c r="L181" s="325" t="s">
        <v>1523</v>
      </c>
    </row>
    <row r="182" spans="1:12" x14ac:dyDescent="0.25">
      <c r="A182" t="str">
        <f t="shared" ca="1" si="8"/>
        <v>cyprys</v>
      </c>
      <c r="C182" t="s">
        <v>644</v>
      </c>
      <c r="D182" s="143" t="s">
        <v>678</v>
      </c>
      <c r="E182" s="246" t="s">
        <v>678</v>
      </c>
      <c r="F182" s="246" t="s">
        <v>865</v>
      </c>
      <c r="G182" s="13" t="s">
        <v>1057</v>
      </c>
      <c r="H182" s="13" t="s">
        <v>1086</v>
      </c>
      <c r="I182" s="13" t="s">
        <v>1014</v>
      </c>
      <c r="J182" s="257" t="s">
        <v>1221</v>
      </c>
      <c r="K182" s="13" t="s">
        <v>1362</v>
      </c>
      <c r="L182" s="325" t="s">
        <v>1524</v>
      </c>
    </row>
    <row r="183" spans="1:12" x14ac:dyDescent="0.25">
      <c r="A183">
        <f t="shared" ca="1" si="8"/>
        <v>0</v>
      </c>
      <c r="D183" s="127"/>
      <c r="L183" s="322"/>
    </row>
    <row r="184" spans="1:12" x14ac:dyDescent="0.25">
      <c r="A184">
        <f t="shared" ref="A184:A220" ca="1" si="9">OFFSET(B184,0,$B$2,1,1)</f>
        <v>0</v>
      </c>
      <c r="D184" s="127"/>
      <c r="L184" s="322"/>
    </row>
    <row r="185" spans="1:12" x14ac:dyDescent="0.25">
      <c r="A185">
        <f t="shared" ca="1" si="9"/>
        <v>0</v>
      </c>
      <c r="D185" s="127"/>
      <c r="L185" s="322"/>
    </row>
    <row r="186" spans="1:12" x14ac:dyDescent="0.25">
      <c r="A186">
        <f t="shared" ca="1" si="9"/>
        <v>0</v>
      </c>
      <c r="D186" s="127"/>
      <c r="L186" s="322"/>
    </row>
    <row r="187" spans="1:12" x14ac:dyDescent="0.25">
      <c r="A187">
        <f t="shared" ca="1" si="9"/>
        <v>0</v>
      </c>
      <c r="D187" s="127"/>
      <c r="L187" s="322"/>
    </row>
    <row r="188" spans="1:12" x14ac:dyDescent="0.25">
      <c r="A188">
        <f t="shared" ca="1" si="9"/>
        <v>0</v>
      </c>
      <c r="D188" s="127"/>
      <c r="L188" s="322"/>
    </row>
    <row r="189" spans="1:12" x14ac:dyDescent="0.25">
      <c r="A189">
        <f t="shared" ca="1" si="9"/>
        <v>0</v>
      </c>
      <c r="D189" s="127"/>
      <c r="L189" s="322"/>
    </row>
    <row r="190" spans="1:12" x14ac:dyDescent="0.25">
      <c r="A190">
        <f t="shared" ca="1" si="9"/>
        <v>0</v>
      </c>
      <c r="D190" s="127"/>
      <c r="L190" s="322"/>
    </row>
    <row r="191" spans="1:12" x14ac:dyDescent="0.25">
      <c r="A191">
        <f t="shared" ca="1" si="9"/>
        <v>0</v>
      </c>
      <c r="D191" s="127"/>
      <c r="L191" s="322"/>
    </row>
    <row r="192" spans="1:12" x14ac:dyDescent="0.25">
      <c r="A192">
        <f t="shared" ca="1" si="9"/>
        <v>0</v>
      </c>
      <c r="D192" s="127"/>
      <c r="L192" s="322"/>
    </row>
    <row r="193" spans="1:12" x14ac:dyDescent="0.25">
      <c r="A193">
        <f t="shared" ca="1" si="9"/>
        <v>0</v>
      </c>
      <c r="D193" s="127"/>
      <c r="L193" s="322"/>
    </row>
    <row r="194" spans="1:12" x14ac:dyDescent="0.25">
      <c r="A194">
        <f t="shared" ca="1" si="9"/>
        <v>0</v>
      </c>
      <c r="D194" s="127"/>
      <c r="L194" s="322"/>
    </row>
    <row r="195" spans="1:12" x14ac:dyDescent="0.25">
      <c r="A195">
        <f t="shared" ca="1" si="9"/>
        <v>0</v>
      </c>
      <c r="D195" s="127"/>
      <c r="L195" s="322"/>
    </row>
    <row r="196" spans="1:12" x14ac:dyDescent="0.25">
      <c r="A196">
        <f t="shared" ca="1" si="9"/>
        <v>0</v>
      </c>
      <c r="D196" s="127"/>
      <c r="L196" s="322"/>
    </row>
    <row r="197" spans="1:12" x14ac:dyDescent="0.25">
      <c r="A197">
        <f t="shared" ca="1" si="9"/>
        <v>0</v>
      </c>
      <c r="D197" s="127"/>
      <c r="L197" s="322"/>
    </row>
    <row r="198" spans="1:12" x14ac:dyDescent="0.25">
      <c r="A198">
        <f t="shared" ca="1" si="9"/>
        <v>0</v>
      </c>
      <c r="D198" s="127"/>
      <c r="L198" s="322"/>
    </row>
    <row r="199" spans="1:12" x14ac:dyDescent="0.25">
      <c r="A199">
        <f t="shared" ca="1" si="9"/>
        <v>0</v>
      </c>
      <c r="D199" s="127"/>
      <c r="L199" s="322"/>
    </row>
    <row r="200" spans="1:12" x14ac:dyDescent="0.25">
      <c r="A200" t="str">
        <f t="shared" ca="1" si="9"/>
        <v>prowadnik</v>
      </c>
      <c r="C200" t="s">
        <v>682</v>
      </c>
      <c r="D200" t="s">
        <v>692</v>
      </c>
      <c r="E200" t="s">
        <v>727</v>
      </c>
      <c r="F200" t="s">
        <v>1024</v>
      </c>
      <c r="G200" t="s">
        <v>1090</v>
      </c>
      <c r="H200" t="s">
        <v>1087</v>
      </c>
      <c r="I200" t="s">
        <v>1015</v>
      </c>
      <c r="L200" s="322" t="s">
        <v>1445</v>
      </c>
    </row>
    <row r="201" spans="1:12" x14ac:dyDescent="0.25">
      <c r="A201" t="str">
        <f t="shared" ca="1" si="9"/>
        <v>zawias do ramy aluminiowej</v>
      </c>
      <c r="C201" t="s">
        <v>759</v>
      </c>
      <c r="D201" s="127" t="s">
        <v>759</v>
      </c>
      <c r="E201" t="s">
        <v>760</v>
      </c>
      <c r="F201" t="s">
        <v>1025</v>
      </c>
      <c r="G201" t="s">
        <v>1091</v>
      </c>
      <c r="H201" t="s">
        <v>1088</v>
      </c>
      <c r="I201" t="s">
        <v>1016</v>
      </c>
      <c r="L201" s="322" t="s">
        <v>1528</v>
      </c>
    </row>
    <row r="202" spans="1:12" x14ac:dyDescent="0.25">
      <c r="A202" t="str">
        <f t="shared" ca="1" si="9"/>
        <v>dostępne opakowanie przemysłowe</v>
      </c>
      <c r="C202" t="s">
        <v>828</v>
      </c>
      <c r="D202" s="127" t="s">
        <v>831</v>
      </c>
      <c r="E202" t="s">
        <v>874</v>
      </c>
      <c r="F202" t="s">
        <v>1026</v>
      </c>
      <c r="G202" t="s">
        <v>1092</v>
      </c>
      <c r="H202" t="s">
        <v>1089</v>
      </c>
      <c r="I202" t="s">
        <v>1017</v>
      </c>
      <c r="L202" s="322" t="s">
        <v>1529</v>
      </c>
    </row>
    <row r="203" spans="1:12" x14ac:dyDescent="0.25">
      <c r="A203">
        <f t="shared" ca="1" si="9"/>
        <v>0</v>
      </c>
      <c r="D203" s="127"/>
    </row>
    <row r="204" spans="1:12" x14ac:dyDescent="0.25">
      <c r="A204">
        <f t="shared" ca="1" si="9"/>
        <v>0</v>
      </c>
      <c r="D204" s="127"/>
    </row>
    <row r="205" spans="1:12" x14ac:dyDescent="0.25">
      <c r="A205">
        <f t="shared" ca="1" si="9"/>
        <v>0</v>
      </c>
      <c r="D205" s="127"/>
    </row>
    <row r="206" spans="1:12" x14ac:dyDescent="0.25">
      <c r="A206">
        <f t="shared" ca="1" si="9"/>
        <v>0</v>
      </c>
      <c r="D206" s="127"/>
    </row>
    <row r="207" spans="1:12" x14ac:dyDescent="0.25">
      <c r="A207">
        <f t="shared" ca="1" si="9"/>
        <v>0</v>
      </c>
      <c r="D207" s="127"/>
    </row>
    <row r="208" spans="1:12" x14ac:dyDescent="0.25">
      <c r="A208">
        <f t="shared" ca="1" si="9"/>
        <v>0</v>
      </c>
      <c r="D208" s="127"/>
    </row>
    <row r="209" spans="1:4" x14ac:dyDescent="0.25">
      <c r="A209">
        <f t="shared" ca="1" si="9"/>
        <v>0</v>
      </c>
      <c r="D209" s="127"/>
    </row>
    <row r="210" spans="1:4" x14ac:dyDescent="0.25">
      <c r="A210">
        <f t="shared" ca="1" si="9"/>
        <v>0</v>
      </c>
      <c r="D210" s="127"/>
    </row>
    <row r="211" spans="1:4" x14ac:dyDescent="0.25">
      <c r="A211">
        <f t="shared" ca="1" si="9"/>
        <v>0</v>
      </c>
      <c r="D211" s="127"/>
    </row>
    <row r="212" spans="1:4" x14ac:dyDescent="0.25">
      <c r="A212">
        <f t="shared" ca="1" si="9"/>
        <v>0</v>
      </c>
      <c r="D212" s="127"/>
    </row>
    <row r="213" spans="1:4" x14ac:dyDescent="0.25">
      <c r="A213">
        <f t="shared" ca="1" si="9"/>
        <v>0</v>
      </c>
      <c r="D213" s="127"/>
    </row>
    <row r="214" spans="1:4" x14ac:dyDescent="0.25">
      <c r="A214">
        <f t="shared" ca="1" si="9"/>
        <v>0</v>
      </c>
      <c r="D214" s="127"/>
    </row>
    <row r="215" spans="1:4" x14ac:dyDescent="0.25">
      <c r="A215">
        <f t="shared" ca="1" si="9"/>
        <v>0</v>
      </c>
      <c r="D215" s="127"/>
    </row>
    <row r="216" spans="1:4" x14ac:dyDescent="0.25">
      <c r="A216">
        <f t="shared" ca="1" si="9"/>
        <v>0</v>
      </c>
      <c r="D216" s="127"/>
    </row>
    <row r="217" spans="1:4" x14ac:dyDescent="0.25">
      <c r="A217">
        <f t="shared" ca="1" si="9"/>
        <v>0</v>
      </c>
      <c r="D217" s="127"/>
    </row>
    <row r="218" spans="1:4" x14ac:dyDescent="0.25">
      <c r="A218">
        <f t="shared" ca="1" si="9"/>
        <v>0</v>
      </c>
      <c r="D218" s="127"/>
    </row>
    <row r="219" spans="1:4" x14ac:dyDescent="0.25">
      <c r="A219">
        <f t="shared" ca="1" si="9"/>
        <v>0</v>
      </c>
      <c r="D219" s="127"/>
    </row>
    <row r="220" spans="1:4" x14ac:dyDescent="0.25">
      <c r="A220">
        <f t="shared" ca="1" si="9"/>
        <v>0</v>
      </c>
      <c r="D220" s="127"/>
    </row>
  </sheetData>
  <hyperlinks>
    <hyperlink ref="C16" r:id="rId1"/>
    <hyperlink ref="C24" r:id="rId2"/>
    <hyperlink ref="C20" r:id="rId3"/>
    <hyperlink ref="C32" r:id="rId4"/>
    <hyperlink ref="C35" r:id="rId5"/>
    <hyperlink ref="C38" r:id="rId6"/>
    <hyperlink ref="C41" r:id="rId7"/>
    <hyperlink ref="C44" r:id="rId8"/>
    <hyperlink ref="C47" r:id="rId9"/>
    <hyperlink ref="C28" r:id="rId10"/>
    <hyperlink ref="D16" r:id="rId11"/>
    <hyperlink ref="D20" r:id="rId12"/>
    <hyperlink ref="D24" r:id="rId13"/>
    <hyperlink ref="D28" r:id="rId14"/>
    <hyperlink ref="E28:H28" r:id="rId15" display="http://www.grass.at"/>
    <hyperlink ref="E24:H24" r:id="rId16" display="http://www.grass.at"/>
    <hyperlink ref="E20:H20" r:id="rId17" display="http://www.grass.at"/>
    <hyperlink ref="E16:H16" r:id="rId18" display="http://www.grass.at"/>
    <hyperlink ref="E28" r:id="rId19"/>
    <hyperlink ref="E24" r:id="rId20"/>
    <hyperlink ref="E20" r:id="rId21"/>
    <hyperlink ref="E16" r:id="rId22"/>
    <hyperlink ref="I16" r:id="rId23" display="http://www.grass.at/"/>
    <hyperlink ref="I20" r:id="rId24" display="http://www.grass.at/"/>
    <hyperlink ref="I24" r:id="rId25"/>
    <hyperlink ref="I28" r:id="rId26"/>
    <hyperlink ref="I32" r:id="rId27"/>
    <hyperlink ref="I35" r:id="rId28"/>
    <hyperlink ref="I38" r:id="rId29"/>
    <hyperlink ref="I44" r:id="rId30"/>
    <hyperlink ref="I47" r:id="rId31"/>
    <hyperlink ref="J16" r:id="rId32"/>
    <hyperlink ref="J20" r:id="rId33"/>
    <hyperlink ref="J24" r:id="rId34"/>
    <hyperlink ref="J47" r:id="rId35"/>
    <hyperlink ref="J44" r:id="rId36"/>
    <hyperlink ref="J41" r:id="rId37"/>
    <hyperlink ref="J38" r:id="rId38"/>
    <hyperlink ref="J35" r:id="rId39"/>
    <hyperlink ref="J32" r:id="rId40"/>
    <hyperlink ref="J28" r:id="rId41"/>
    <hyperlink ref="J154" r:id="rId42" display="http://mydictionary.dyndns.org/dictionary/tr_de/de/translation/index.jsp?input=abanoz&amp;trans_direction=12&amp;res_mode=10"/>
    <hyperlink ref="L41" r:id="rId43"/>
  </hyperlinks>
  <pageMargins left="0.7" right="0.7" top="0.78740157499999996" bottom="0.78740157499999996" header="0.3" footer="0.3"/>
  <pageSetup paperSize="9" orientation="portrait" r:id="rId44"/>
  <legacyDrawing r:id="rId4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S136"/>
  <sheetViews>
    <sheetView topLeftCell="A113" workbookViewId="0">
      <selection activeCell="F131" sqref="F131"/>
    </sheetView>
  </sheetViews>
  <sheetFormatPr baseColWidth="10" defaultRowHeight="15" x14ac:dyDescent="0.25"/>
  <cols>
    <col min="2" max="2" width="18.5703125" customWidth="1"/>
    <col min="3" max="3" width="9.85546875" customWidth="1"/>
    <col min="6" max="6" width="25.5703125" customWidth="1"/>
    <col min="7" max="7" width="4.28515625" customWidth="1"/>
    <col min="8" max="8" width="4.5703125" customWidth="1"/>
    <col min="14" max="14" width="22.85546875" customWidth="1"/>
    <col min="15" max="15" width="11.42578125" customWidth="1"/>
    <col min="16" max="16" width="17.5703125" customWidth="1"/>
    <col min="17" max="17" width="17.85546875" customWidth="1"/>
    <col min="18" max="19" width="11.42578125" customWidth="1"/>
  </cols>
  <sheetData>
    <row r="1" spans="1:17" ht="15.75" thickBot="1" x14ac:dyDescent="0.3">
      <c r="A1" s="108" t="str">
        <f>Sprache!C1</f>
        <v>Kinvaro Produktfinder realisiert von SYS33 EDV Dienstleistung im Auftrag von GRASS GmbH Reinheim</v>
      </c>
    </row>
    <row r="2" spans="1:17" ht="14.25" customHeight="1" x14ac:dyDescent="0.25">
      <c r="O2" s="95"/>
      <c r="P2" s="96" t="str">
        <f ca="1">VLOOKUP(TRUE,P3:Q12,2,FALSE)</f>
        <v>F-20</v>
      </c>
      <c r="Q2" s="97"/>
    </row>
    <row r="3" spans="1:17" ht="18" customHeight="1" x14ac:dyDescent="0.25">
      <c r="O3" s="98" t="s">
        <v>164</v>
      </c>
      <c r="P3" s="4" t="b">
        <v>1</v>
      </c>
      <c r="Q3" s="99" t="str">
        <f ca="1">KINVARO!M21</f>
        <v>F-20</v>
      </c>
    </row>
    <row r="4" spans="1:17" x14ac:dyDescent="0.25">
      <c r="O4" s="98"/>
      <c r="P4" s="4" t="b">
        <v>0</v>
      </c>
      <c r="Q4" s="99" t="str">
        <f ca="1">KINVARO!M25</f>
        <v>L-80</v>
      </c>
    </row>
    <row r="5" spans="1:17" x14ac:dyDescent="0.25">
      <c r="A5" s="10"/>
      <c r="B5" s="103" t="s">
        <v>58</v>
      </c>
      <c r="C5" s="10">
        <v>2</v>
      </c>
      <c r="D5" s="10" t="s">
        <v>59</v>
      </c>
      <c r="E5" s="10"/>
      <c r="F5" s="10" t="s">
        <v>61</v>
      </c>
      <c r="G5" s="10"/>
      <c r="H5" s="10"/>
      <c r="O5" s="98"/>
      <c r="P5" s="4" t="b">
        <v>0</v>
      </c>
      <c r="Q5" s="99" t="str">
        <f ca="1">KINVARO!M29</f>
        <v>S-35</v>
      </c>
    </row>
    <row r="6" spans="1:17" x14ac:dyDescent="0.25">
      <c r="A6" s="10"/>
      <c r="B6" t="str">
        <f ca="1">Sprache!A139</f>
        <v>MDF</v>
      </c>
      <c r="C6" s="10">
        <v>1</v>
      </c>
      <c r="D6">
        <v>0.85</v>
      </c>
      <c r="E6" s="10"/>
      <c r="F6" s="109">
        <v>0</v>
      </c>
      <c r="G6" s="109">
        <v>100</v>
      </c>
      <c r="H6" s="10"/>
      <c r="O6" s="98"/>
      <c r="P6" s="4" t="b">
        <v>0</v>
      </c>
      <c r="Q6" s="99" t="str">
        <f ca="1">KINVARO!M33</f>
        <v>T-65</v>
      </c>
    </row>
    <row r="7" spans="1:17" x14ac:dyDescent="0.25">
      <c r="A7" s="10"/>
      <c r="B7" t="str">
        <f ca="1">Sprache!A140</f>
        <v>płyta wiórowa</v>
      </c>
      <c r="C7" s="10">
        <v>2</v>
      </c>
      <c r="D7">
        <v>0.65</v>
      </c>
      <c r="E7" s="10"/>
      <c r="F7" s="109">
        <v>0</v>
      </c>
      <c r="G7" s="109">
        <v>100</v>
      </c>
      <c r="H7" s="10"/>
      <c r="O7" s="98"/>
      <c r="P7" s="4" t="b">
        <v>0</v>
      </c>
      <c r="Q7" s="102" t="str">
        <f ca="1">KINVARO!M37</f>
        <v>T-70</v>
      </c>
    </row>
    <row r="8" spans="1:17" x14ac:dyDescent="0.25">
      <c r="A8" s="10"/>
      <c r="B8" t="str">
        <f ca="1">Sprache!A141</f>
        <v>świerk/sosna</v>
      </c>
      <c r="C8" s="10">
        <v>3</v>
      </c>
      <c r="D8">
        <v>0.45</v>
      </c>
      <c r="E8" s="10"/>
      <c r="F8" s="109">
        <v>0</v>
      </c>
      <c r="G8" s="109">
        <v>100</v>
      </c>
      <c r="H8" s="10"/>
      <c r="J8" s="103" t="s">
        <v>67</v>
      </c>
      <c r="K8" s="10" t="s">
        <v>68</v>
      </c>
      <c r="L8" s="10" t="s">
        <v>69</v>
      </c>
      <c r="M8" s="10"/>
      <c r="O8" s="98"/>
      <c r="P8" s="4" t="b">
        <v>0</v>
      </c>
      <c r="Q8" s="99" t="str">
        <f ca="1">KINVARO!AS21</f>
        <v>T-71</v>
      </c>
    </row>
    <row r="9" spans="1:17" x14ac:dyDescent="0.25">
      <c r="A9" s="10"/>
      <c r="B9" t="str">
        <f ca="1">Sprache!A142</f>
        <v>szkło</v>
      </c>
      <c r="C9" s="10">
        <v>4</v>
      </c>
      <c r="D9">
        <v>2.5</v>
      </c>
      <c r="E9" s="10"/>
      <c r="F9" s="109">
        <v>0</v>
      </c>
      <c r="G9" s="109">
        <v>100</v>
      </c>
      <c r="H9" s="10"/>
      <c r="J9" s="10" t="s">
        <v>60</v>
      </c>
      <c r="K9">
        <v>200</v>
      </c>
      <c r="L9">
        <v>1200</v>
      </c>
      <c r="M9" s="10"/>
      <c r="O9" s="98"/>
      <c r="P9" s="4" t="b">
        <v>0</v>
      </c>
      <c r="Q9" s="99" t="str">
        <f ca="1">KINVARO!AS25</f>
        <v>T-75</v>
      </c>
    </row>
    <row r="10" spans="1:17" x14ac:dyDescent="0.25">
      <c r="A10" s="10"/>
      <c r="B10" t="str">
        <f ca="1">Sprache!A143</f>
        <v>-----------------</v>
      </c>
      <c r="C10" s="10">
        <v>5</v>
      </c>
      <c r="D10">
        <v>0</v>
      </c>
      <c r="E10" s="10"/>
      <c r="F10" s="109">
        <v>0</v>
      </c>
      <c r="G10" s="109">
        <v>100</v>
      </c>
      <c r="H10" s="10"/>
      <c r="J10" s="10" t="s">
        <v>12</v>
      </c>
      <c r="K10">
        <v>250</v>
      </c>
      <c r="L10">
        <v>800</v>
      </c>
      <c r="M10" s="10"/>
      <c r="O10" s="98"/>
      <c r="P10" s="4" t="b">
        <v>0</v>
      </c>
      <c r="Q10" s="99" t="str">
        <f ca="1">KINVARO!AS29</f>
        <v>T-76</v>
      </c>
    </row>
    <row r="11" spans="1:17" x14ac:dyDescent="0.25">
      <c r="A11" s="10"/>
      <c r="B11" t="str">
        <f ca="1">Sprache!A144</f>
        <v>afrormosia</v>
      </c>
      <c r="C11" s="10">
        <v>6</v>
      </c>
      <c r="D11">
        <v>0.71</v>
      </c>
      <c r="E11" s="10"/>
      <c r="F11" s="109">
        <v>0</v>
      </c>
      <c r="G11" s="109">
        <v>100</v>
      </c>
      <c r="H11" s="10"/>
      <c r="I11" s="14"/>
      <c r="J11" s="10" t="s">
        <v>61</v>
      </c>
      <c r="K11" s="188">
        <f>VLOOKUP(C5,C6:G54,4, FALSE)</f>
        <v>0</v>
      </c>
      <c r="L11" s="188">
        <f>VLOOKUP(C5,C6:G54,5, FALSE)</f>
        <v>100</v>
      </c>
      <c r="M11" s="10"/>
      <c r="O11" s="98"/>
      <c r="P11" s="4" t="b">
        <v>0</v>
      </c>
      <c r="Q11" s="99" t="str">
        <f ca="1">KINVARO!AS33</f>
        <v>T-57</v>
      </c>
    </row>
    <row r="12" spans="1:17" ht="15.75" thickBot="1" x14ac:dyDescent="0.3">
      <c r="A12" s="10"/>
      <c r="B12" t="str">
        <f ca="1">Sprache!A145</f>
        <v>klon</v>
      </c>
      <c r="C12" s="10">
        <v>7</v>
      </c>
      <c r="D12">
        <v>0.75</v>
      </c>
      <c r="E12" s="10"/>
      <c r="F12" s="109">
        <v>0</v>
      </c>
      <c r="G12" s="109">
        <v>100</v>
      </c>
      <c r="H12" s="10"/>
      <c r="J12" s="10" t="s">
        <v>63</v>
      </c>
      <c r="K12">
        <v>0.5</v>
      </c>
      <c r="L12">
        <v>20</v>
      </c>
      <c r="M12" s="10"/>
      <c r="O12" s="100"/>
      <c r="P12" s="21" t="b">
        <v>0</v>
      </c>
      <c r="Q12" s="101" t="str">
        <f ca="1">KINVARO!AS37</f>
        <v>T-105</v>
      </c>
    </row>
    <row r="13" spans="1:17" x14ac:dyDescent="0.25">
      <c r="A13" s="10"/>
      <c r="B13" t="str">
        <f ca="1">Sprache!A146</f>
        <v>lipa amerykańska</v>
      </c>
      <c r="C13" s="10">
        <v>8</v>
      </c>
      <c r="D13">
        <v>0.6</v>
      </c>
      <c r="E13" s="10"/>
      <c r="F13" s="109">
        <v>0</v>
      </c>
      <c r="G13" s="109">
        <v>100</v>
      </c>
      <c r="H13" s="10"/>
      <c r="J13" s="10" t="s">
        <v>156</v>
      </c>
      <c r="K13" s="14">
        <v>0</v>
      </c>
      <c r="L13" s="14">
        <v>20000</v>
      </c>
      <c r="M13" s="10"/>
    </row>
    <row r="14" spans="1:17" x14ac:dyDescent="0.25">
      <c r="A14" s="10"/>
      <c r="B14" t="str">
        <f ca="1">Sprache!A147</f>
        <v>jabłoń</v>
      </c>
      <c r="C14" s="10">
        <v>9</v>
      </c>
      <c r="D14">
        <v>0.8</v>
      </c>
      <c r="E14" s="10"/>
      <c r="F14" s="109">
        <v>0</v>
      </c>
      <c r="G14" s="109">
        <v>100</v>
      </c>
      <c r="H14" s="10"/>
      <c r="J14" s="10" t="s">
        <v>157</v>
      </c>
      <c r="K14" s="14">
        <v>1</v>
      </c>
      <c r="L14" s="94">
        <f>KINVARO!$AW$3</f>
        <v>850</v>
      </c>
      <c r="M14" s="10"/>
    </row>
    <row r="15" spans="1:17" x14ac:dyDescent="0.25">
      <c r="A15" s="10"/>
      <c r="B15" t="str">
        <f ca="1">Sprache!A148</f>
        <v>balsa</v>
      </c>
      <c r="C15" s="10">
        <v>10</v>
      </c>
      <c r="D15">
        <v>0.16</v>
      </c>
      <c r="E15" s="10"/>
      <c r="F15" s="109">
        <v>0</v>
      </c>
      <c r="G15" s="109">
        <v>100</v>
      </c>
      <c r="H15" s="10"/>
      <c r="J15" s="10"/>
      <c r="K15" s="10"/>
      <c r="L15" s="10"/>
      <c r="M15" s="10"/>
    </row>
    <row r="16" spans="1:17" x14ac:dyDescent="0.25">
      <c r="A16" s="10"/>
      <c r="B16" t="str">
        <f ca="1">Sprache!A149</f>
        <v>bambus</v>
      </c>
      <c r="C16" s="10">
        <v>11</v>
      </c>
      <c r="D16">
        <v>0.4</v>
      </c>
      <c r="E16" s="10"/>
      <c r="F16" s="109">
        <v>0</v>
      </c>
      <c r="G16" s="109">
        <v>100</v>
      </c>
      <c r="H16" s="10"/>
    </row>
    <row r="17" spans="1:19" x14ac:dyDescent="0.25">
      <c r="A17" s="10"/>
      <c r="B17" t="str">
        <f ca="1">Sprache!A150</f>
        <v>brzoza</v>
      </c>
      <c r="C17" s="10">
        <v>12</v>
      </c>
      <c r="D17">
        <v>0.67</v>
      </c>
      <c r="E17" s="10"/>
      <c r="F17" s="109">
        <v>0</v>
      </c>
      <c r="G17" s="109">
        <v>100</v>
      </c>
      <c r="H17" s="10"/>
    </row>
    <row r="18" spans="1:19" x14ac:dyDescent="0.25">
      <c r="A18" s="10"/>
      <c r="B18" t="str">
        <f ca="1">Sprache!A151</f>
        <v>grusza</v>
      </c>
      <c r="C18" s="10">
        <v>13</v>
      </c>
      <c r="D18">
        <v>0.7</v>
      </c>
      <c r="E18" s="10"/>
      <c r="F18" s="109">
        <v>0</v>
      </c>
      <c r="G18" s="109">
        <v>100</v>
      </c>
      <c r="H18" s="10"/>
      <c r="P18" s="107">
        <f>IF(A1&lt;&gt;"Kinvaro Produktfinder realisiert von SYS33 EDV Dienstleistung im Auftrag von GRASS GmbH Reinheim",0,1)</f>
        <v>1</v>
      </c>
      <c r="Q18" s="93"/>
      <c r="R18" s="93"/>
      <c r="S18" s="93"/>
    </row>
    <row r="19" spans="1:19" x14ac:dyDescent="0.25">
      <c r="A19" s="10"/>
      <c r="B19" t="str">
        <f ca="1">Sprache!A152</f>
        <v>buk</v>
      </c>
      <c r="C19" s="10">
        <v>14</v>
      </c>
      <c r="D19">
        <v>0.9</v>
      </c>
      <c r="E19" s="10"/>
      <c r="F19" s="109">
        <v>0</v>
      </c>
      <c r="G19" s="109">
        <v>100</v>
      </c>
      <c r="H19" s="10"/>
    </row>
    <row r="20" spans="1:19" ht="15.75" thickBot="1" x14ac:dyDescent="0.3">
      <c r="A20" s="10"/>
      <c r="B20" t="str">
        <f ca="1">Sprache!A153</f>
        <v>daglezja</v>
      </c>
      <c r="C20" s="10">
        <v>15</v>
      </c>
      <c r="D20">
        <v>0.53</v>
      </c>
      <c r="E20" s="10"/>
      <c r="F20" s="109">
        <v>0</v>
      </c>
      <c r="G20" s="109">
        <v>100</v>
      </c>
      <c r="H20" s="10"/>
    </row>
    <row r="21" spans="1:19" x14ac:dyDescent="0.25">
      <c r="A21" s="10"/>
      <c r="B21" t="str">
        <f ca="1">Sprache!A154</f>
        <v>heban</v>
      </c>
      <c r="C21" s="10">
        <v>16</v>
      </c>
      <c r="D21">
        <v>1.3</v>
      </c>
      <c r="E21" s="10"/>
      <c r="F21" s="109">
        <v>0</v>
      </c>
      <c r="G21" s="109">
        <v>100</v>
      </c>
      <c r="H21" s="10"/>
      <c r="O21" s="95" t="s">
        <v>158</v>
      </c>
      <c r="P21" s="96" t="s">
        <v>159</v>
      </c>
      <c r="Q21" s="96" t="b">
        <v>1</v>
      </c>
      <c r="R21" s="97">
        <f>IF(Q21=FALSE,0,1)</f>
        <v>1</v>
      </c>
    </row>
    <row r="22" spans="1:19" x14ac:dyDescent="0.25">
      <c r="A22" s="10"/>
      <c r="B22" t="str">
        <f ca="1">Sprache!A155</f>
        <v>olcha</v>
      </c>
      <c r="C22" s="10">
        <v>17</v>
      </c>
      <c r="D22">
        <v>0.7</v>
      </c>
      <c r="E22" s="10"/>
      <c r="F22" s="109">
        <v>0</v>
      </c>
      <c r="G22" s="109">
        <v>100</v>
      </c>
      <c r="H22" s="10"/>
      <c r="O22" s="98"/>
      <c r="P22" s="4" t="s">
        <v>160</v>
      </c>
      <c r="Q22" s="4" t="b">
        <v>0</v>
      </c>
      <c r="R22" s="99">
        <f>IF(Q22=FALSE,0,2)</f>
        <v>0</v>
      </c>
    </row>
    <row r="23" spans="1:19" x14ac:dyDescent="0.25">
      <c r="A23" s="10"/>
      <c r="B23" t="str">
        <f ca="1">Sprache!A156</f>
        <v>jesion</v>
      </c>
      <c r="C23" s="10">
        <v>18</v>
      </c>
      <c r="D23">
        <v>0.71</v>
      </c>
      <c r="E23" s="10"/>
      <c r="F23" s="109">
        <v>0</v>
      </c>
      <c r="G23" s="109">
        <v>100</v>
      </c>
      <c r="H23" s="10"/>
      <c r="O23" s="98"/>
      <c r="P23" s="4" t="s">
        <v>161</v>
      </c>
      <c r="Q23" s="4" t="b">
        <v>0</v>
      </c>
      <c r="R23" s="99">
        <f>IF(Q23=FALSE,0,3)</f>
        <v>0</v>
      </c>
    </row>
    <row r="24" spans="1:19" x14ac:dyDescent="0.25">
      <c r="A24" s="10"/>
      <c r="B24" t="str">
        <f ca="1">Sprache!A157</f>
        <v>osika</v>
      </c>
      <c r="C24" s="10">
        <v>19</v>
      </c>
      <c r="D24">
        <v>0.42</v>
      </c>
      <c r="E24" s="10"/>
      <c r="F24" s="109">
        <v>0</v>
      </c>
      <c r="G24" s="109">
        <v>100</v>
      </c>
      <c r="H24" s="10"/>
      <c r="O24" s="98"/>
      <c r="P24" s="4" t="s">
        <v>162</v>
      </c>
      <c r="Q24" s="4" t="b">
        <v>0</v>
      </c>
      <c r="R24" s="99">
        <f>IF(Q24=FALSE,0,4)</f>
        <v>0</v>
      </c>
    </row>
    <row r="25" spans="1:19" ht="15.75" thickBot="1" x14ac:dyDescent="0.3">
      <c r="A25" s="10"/>
      <c r="B25" t="str">
        <f ca="1">Sprache!A158</f>
        <v>świerk</v>
      </c>
      <c r="C25" s="10">
        <v>20</v>
      </c>
      <c r="D25">
        <v>0.45</v>
      </c>
      <c r="E25" s="10"/>
      <c r="F25" s="109">
        <v>0</v>
      </c>
      <c r="G25" s="109">
        <v>100</v>
      </c>
      <c r="H25" s="10"/>
      <c r="O25" s="100"/>
      <c r="P25" s="21" t="s">
        <v>163</v>
      </c>
      <c r="Q25" s="21" t="b">
        <v>0</v>
      </c>
      <c r="R25" s="101">
        <f>IF(Q25=FALSE,0,5)</f>
        <v>0</v>
      </c>
    </row>
    <row r="26" spans="1:19" x14ac:dyDescent="0.25">
      <c r="A26" s="10"/>
      <c r="B26" t="str">
        <f ca="1">Sprache!A159</f>
        <v>okume</v>
      </c>
      <c r="C26" s="10">
        <v>21</v>
      </c>
      <c r="D26">
        <v>0.43</v>
      </c>
      <c r="E26" s="10"/>
      <c r="F26" s="109">
        <v>0</v>
      </c>
      <c r="G26" s="109">
        <v>100</v>
      </c>
      <c r="H26" s="10"/>
      <c r="O26" s="4"/>
      <c r="P26" s="4"/>
      <c r="Q26" s="4"/>
      <c r="R26" s="4"/>
    </row>
    <row r="27" spans="1:19" x14ac:dyDescent="0.25">
      <c r="A27" s="10"/>
      <c r="B27" t="str">
        <f ca="1">Sprache!A160</f>
        <v>choina (hemlock)</v>
      </c>
      <c r="C27" s="10">
        <v>22</v>
      </c>
      <c r="D27">
        <v>0.5</v>
      </c>
      <c r="E27" s="10"/>
      <c r="F27" s="109">
        <v>0</v>
      </c>
      <c r="G27" s="109">
        <v>100</v>
      </c>
      <c r="H27" s="10"/>
      <c r="O27" s="4"/>
      <c r="P27" s="4"/>
      <c r="Q27" s="4"/>
      <c r="R27" s="4"/>
    </row>
    <row r="28" spans="1:19" x14ac:dyDescent="0.25">
      <c r="A28" s="10"/>
      <c r="B28" t="str">
        <f ca="1">Sprache!A161</f>
        <v>iroko</v>
      </c>
      <c r="C28" s="10">
        <v>23</v>
      </c>
      <c r="D28">
        <v>0.66</v>
      </c>
      <c r="E28" s="10"/>
      <c r="F28" s="109">
        <v>0</v>
      </c>
      <c r="G28" s="109">
        <v>100</v>
      </c>
      <c r="H28" s="10"/>
      <c r="O28" s="4"/>
      <c r="P28" s="4"/>
      <c r="Q28" s="4"/>
      <c r="R28" s="4"/>
    </row>
    <row r="29" spans="1:19" x14ac:dyDescent="0.25">
      <c r="A29" s="10"/>
      <c r="B29" t="str">
        <f ca="1">Sprache!A162</f>
        <v>kasztan</v>
      </c>
      <c r="C29" s="10">
        <v>24</v>
      </c>
      <c r="D29">
        <v>0.56000000000000005</v>
      </c>
      <c r="E29" s="10"/>
      <c r="F29" s="109">
        <v>0</v>
      </c>
      <c r="G29" s="109">
        <v>100</v>
      </c>
      <c r="H29" s="10"/>
      <c r="O29" s="4"/>
      <c r="P29" s="4"/>
      <c r="Q29" s="4"/>
      <c r="R29" s="4"/>
    </row>
    <row r="30" spans="1:19" x14ac:dyDescent="0.25">
      <c r="A30" s="10"/>
      <c r="B30" t="str">
        <f ca="1">Sprache!A163</f>
        <v>sosna</v>
      </c>
      <c r="C30" s="10">
        <v>25</v>
      </c>
      <c r="D30">
        <v>0.45</v>
      </c>
      <c r="E30" s="10"/>
      <c r="F30" s="109">
        <v>0</v>
      </c>
      <c r="G30" s="109">
        <v>100</v>
      </c>
      <c r="H30" s="10"/>
      <c r="O30" s="4"/>
      <c r="P30" s="4"/>
      <c r="Q30" s="4"/>
      <c r="R30" s="4"/>
    </row>
    <row r="31" spans="1:19" x14ac:dyDescent="0.25">
      <c r="A31" s="10"/>
      <c r="B31" t="str">
        <f ca="1">Sprache!A164</f>
        <v>czereśnia</v>
      </c>
      <c r="C31" s="10">
        <v>26</v>
      </c>
      <c r="D31">
        <v>0.63</v>
      </c>
      <c r="E31" s="10"/>
      <c r="F31" s="109">
        <v>0</v>
      </c>
      <c r="G31" s="109">
        <v>100</v>
      </c>
      <c r="H31" s="10"/>
      <c r="O31" s="4"/>
      <c r="P31" s="4"/>
      <c r="Q31" s="4"/>
      <c r="R31" s="4"/>
    </row>
    <row r="32" spans="1:19" x14ac:dyDescent="0.25">
      <c r="A32" s="10"/>
      <c r="B32" t="str">
        <f ca="1">Sprache!A165</f>
        <v>modrzew</v>
      </c>
      <c r="C32" s="10">
        <v>27</v>
      </c>
      <c r="D32">
        <v>0.55000000000000004</v>
      </c>
      <c r="E32" s="10"/>
      <c r="F32" s="109">
        <v>0</v>
      </c>
      <c r="G32" s="109">
        <v>100</v>
      </c>
      <c r="H32" s="10"/>
      <c r="O32" s="4"/>
      <c r="P32" s="4"/>
      <c r="Q32" s="4"/>
      <c r="R32" s="4"/>
    </row>
    <row r="33" spans="1:18" x14ac:dyDescent="0.25">
      <c r="A33" s="10"/>
      <c r="B33" t="str">
        <f ca="1">Sprache!A166</f>
        <v>mahoń</v>
      </c>
      <c r="C33" s="10">
        <v>28</v>
      </c>
      <c r="D33">
        <v>0.85</v>
      </c>
      <c r="E33" s="10"/>
      <c r="F33" s="109">
        <v>0</v>
      </c>
      <c r="G33" s="109">
        <v>100</v>
      </c>
      <c r="H33" s="10"/>
      <c r="O33" s="4"/>
      <c r="P33" s="4"/>
      <c r="Q33" s="4"/>
      <c r="R33" s="4"/>
    </row>
    <row r="34" spans="1:18" x14ac:dyDescent="0.25">
      <c r="A34" s="10"/>
      <c r="B34" t="str">
        <f ca="1">Sprache!A167</f>
        <v>sekwoja</v>
      </c>
      <c r="C34" s="10">
        <v>29</v>
      </c>
      <c r="D34">
        <v>0.51</v>
      </c>
      <c r="E34" s="10"/>
      <c r="F34" s="109">
        <v>0</v>
      </c>
      <c r="G34" s="109">
        <v>100</v>
      </c>
      <c r="H34" s="10"/>
      <c r="O34" s="4"/>
      <c r="P34" s="4"/>
      <c r="Q34" s="4"/>
      <c r="R34" s="4"/>
    </row>
    <row r="35" spans="1:18" x14ac:dyDescent="0.25">
      <c r="A35" s="10"/>
      <c r="B35" t="str">
        <f ca="1">Sprache!A168</f>
        <v>topola</v>
      </c>
      <c r="C35" s="10">
        <v>30</v>
      </c>
      <c r="D35">
        <v>0.5</v>
      </c>
      <c r="E35" s="10"/>
      <c r="F35" s="109">
        <v>0</v>
      </c>
      <c r="G35" s="109">
        <v>100</v>
      </c>
      <c r="H35" s="10"/>
      <c r="O35" s="4"/>
      <c r="P35" s="4"/>
      <c r="Q35" s="4"/>
      <c r="R35" s="4"/>
    </row>
    <row r="36" spans="1:18" x14ac:dyDescent="0.25">
      <c r="A36" s="10"/>
      <c r="B36" t="str">
        <f ca="1">Sprache!A169</f>
        <v>topola kanadyjska</v>
      </c>
      <c r="C36" s="10">
        <v>31</v>
      </c>
      <c r="D36">
        <v>0.41</v>
      </c>
      <c r="E36" s="10"/>
      <c r="F36" s="109">
        <v>0</v>
      </c>
      <c r="G36" s="109">
        <v>100</v>
      </c>
      <c r="H36" s="10"/>
      <c r="O36" s="4"/>
      <c r="P36" s="4"/>
      <c r="Q36" s="4"/>
      <c r="R36" s="4"/>
    </row>
    <row r="37" spans="1:18" x14ac:dyDescent="0.25">
      <c r="A37" s="10"/>
      <c r="B37" t="str">
        <f ca="1">Sprache!A170</f>
        <v>hikora</v>
      </c>
      <c r="C37" s="10">
        <v>32</v>
      </c>
      <c r="D37">
        <v>0.77</v>
      </c>
      <c r="E37" s="10"/>
      <c r="F37" s="109">
        <v>0</v>
      </c>
      <c r="G37" s="109">
        <v>100</v>
      </c>
      <c r="H37" s="10"/>
      <c r="O37" s="4"/>
      <c r="P37" s="4"/>
      <c r="Q37" s="4"/>
      <c r="R37" s="4"/>
    </row>
    <row r="38" spans="1:18" x14ac:dyDescent="0.25">
      <c r="A38" s="10"/>
      <c r="B38" t="str">
        <f ca="1">Sprache!A171</f>
        <v>platan</v>
      </c>
      <c r="C38" s="10">
        <v>33</v>
      </c>
      <c r="D38">
        <v>0.6</v>
      </c>
      <c r="E38" s="10"/>
      <c r="F38" s="109">
        <v>0</v>
      </c>
      <c r="G38" s="109">
        <v>100</v>
      </c>
      <c r="H38" s="10"/>
      <c r="O38" s="4"/>
      <c r="P38" s="4"/>
      <c r="Q38" s="4"/>
      <c r="R38" s="4"/>
    </row>
    <row r="39" spans="1:18" x14ac:dyDescent="0.25">
      <c r="A39" s="10"/>
      <c r="B39" t="str">
        <f ca="1">Sprache!A172</f>
        <v>gwajak</v>
      </c>
      <c r="C39" s="10">
        <v>34</v>
      </c>
      <c r="D39">
        <v>1.33</v>
      </c>
      <c r="E39" s="10"/>
      <c r="F39" s="109">
        <v>0</v>
      </c>
      <c r="G39" s="109">
        <v>100</v>
      </c>
      <c r="H39" s="10"/>
      <c r="O39" s="4"/>
      <c r="P39" s="4"/>
      <c r="Q39" s="4"/>
      <c r="R39" s="4"/>
    </row>
    <row r="40" spans="1:18" x14ac:dyDescent="0.25">
      <c r="A40" s="10"/>
      <c r="B40" t="str">
        <f ca="1">Sprache!A173</f>
        <v>ramin</v>
      </c>
      <c r="C40" s="10">
        <v>35</v>
      </c>
      <c r="D40">
        <v>0.67</v>
      </c>
      <c r="E40" s="10"/>
      <c r="F40" s="109">
        <v>0</v>
      </c>
      <c r="G40" s="109">
        <v>100</v>
      </c>
      <c r="H40" s="10"/>
      <c r="O40" s="4"/>
      <c r="P40" s="4"/>
      <c r="Q40" s="4"/>
      <c r="R40" s="4"/>
    </row>
    <row r="41" spans="1:18" x14ac:dyDescent="0.25">
      <c r="A41" s="10"/>
      <c r="B41" t="str">
        <f ca="1">Sprache!A174</f>
        <v>robinia (akacja)</v>
      </c>
      <c r="C41" s="10">
        <v>36</v>
      </c>
      <c r="D41">
        <v>0.7</v>
      </c>
      <c r="E41" s="10"/>
      <c r="F41" s="109">
        <v>0</v>
      </c>
      <c r="G41" s="109">
        <v>100</v>
      </c>
      <c r="H41" s="10"/>
      <c r="O41" s="4"/>
      <c r="P41" s="4"/>
      <c r="Q41" s="4"/>
      <c r="R41" s="4"/>
    </row>
    <row r="42" spans="1:18" x14ac:dyDescent="0.25">
      <c r="A42" s="10"/>
      <c r="B42" t="str">
        <f ca="1">Sprache!A175</f>
        <v>płyta wiórowa</v>
      </c>
      <c r="C42" s="10">
        <v>37</v>
      </c>
      <c r="D42">
        <v>0.65</v>
      </c>
      <c r="E42" s="10"/>
      <c r="F42" s="109">
        <v>0</v>
      </c>
      <c r="G42" s="109">
        <v>100</v>
      </c>
      <c r="H42" s="10"/>
      <c r="O42" s="4"/>
      <c r="P42" s="4"/>
      <c r="Q42" s="4"/>
      <c r="R42" s="4"/>
    </row>
    <row r="43" spans="1:18" x14ac:dyDescent="0.25">
      <c r="A43" s="10"/>
      <c r="B43" t="str">
        <f ca="1">Sprache!A176</f>
        <v>jodła</v>
      </c>
      <c r="C43" s="10">
        <v>38</v>
      </c>
      <c r="D43">
        <v>0.41</v>
      </c>
      <c r="E43" s="10"/>
      <c r="F43" s="109">
        <v>0</v>
      </c>
      <c r="G43" s="109">
        <v>100</v>
      </c>
      <c r="H43" s="10"/>
      <c r="O43" s="4"/>
      <c r="P43" s="4"/>
      <c r="Q43" s="4"/>
      <c r="R43" s="4"/>
    </row>
    <row r="44" spans="1:18" x14ac:dyDescent="0.25">
      <c r="A44" s="10"/>
      <c r="B44" t="str">
        <f ca="1">Sprache!A177</f>
        <v>teak</v>
      </c>
      <c r="C44" s="10">
        <v>39</v>
      </c>
      <c r="D44">
        <v>0.98</v>
      </c>
      <c r="E44" s="10"/>
      <c r="F44" s="109">
        <v>0</v>
      </c>
      <c r="G44" s="109">
        <v>100</v>
      </c>
      <c r="H44" s="10"/>
      <c r="O44" s="4"/>
      <c r="P44" s="4"/>
      <c r="Q44" s="4"/>
      <c r="R44" s="4"/>
    </row>
    <row r="45" spans="1:18" x14ac:dyDescent="0.25">
      <c r="A45" s="10"/>
      <c r="B45" t="str">
        <f ca="1">Sprache!A178</f>
        <v>wiąz</v>
      </c>
      <c r="C45" s="10">
        <v>40</v>
      </c>
      <c r="D45">
        <v>0.82</v>
      </c>
      <c r="E45" s="10"/>
      <c r="F45" s="109">
        <v>0</v>
      </c>
      <c r="G45" s="109">
        <v>100</v>
      </c>
      <c r="H45" s="10"/>
      <c r="O45" s="4"/>
      <c r="P45" s="4"/>
      <c r="Q45" s="4"/>
      <c r="R45" s="4"/>
    </row>
    <row r="46" spans="1:18" x14ac:dyDescent="0.25">
      <c r="A46" s="10"/>
      <c r="B46" t="str">
        <f ca="1">Sprache!A179</f>
        <v>orzech</v>
      </c>
      <c r="C46" s="10">
        <v>41</v>
      </c>
      <c r="D46">
        <v>0.83</v>
      </c>
      <c r="E46" s="10"/>
      <c r="F46" s="109">
        <v>0</v>
      </c>
      <c r="G46" s="109">
        <v>100</v>
      </c>
      <c r="H46" s="10"/>
      <c r="O46" s="4"/>
      <c r="P46" s="4"/>
      <c r="Q46" s="4"/>
      <c r="R46" s="4"/>
    </row>
    <row r="47" spans="1:18" x14ac:dyDescent="0.25">
      <c r="A47" s="10"/>
      <c r="B47" t="str">
        <f ca="1">Sprache!A180</f>
        <v>wierzba</v>
      </c>
      <c r="C47" s="10">
        <v>42</v>
      </c>
      <c r="D47">
        <v>0.6</v>
      </c>
      <c r="E47" s="10"/>
      <c r="F47" s="109">
        <v>0</v>
      </c>
      <c r="G47" s="109">
        <v>100</v>
      </c>
      <c r="H47" s="10"/>
      <c r="O47" s="4"/>
      <c r="P47" s="4"/>
      <c r="Q47" s="4"/>
      <c r="R47" s="4"/>
    </row>
    <row r="48" spans="1:18" x14ac:dyDescent="0.25">
      <c r="A48" s="10"/>
      <c r="B48" t="str">
        <f ca="1">Sprache!A181</f>
        <v>cedr</v>
      </c>
      <c r="C48" s="10">
        <v>43</v>
      </c>
      <c r="D48">
        <v>0.57999999999999996</v>
      </c>
      <c r="E48" s="10"/>
      <c r="F48" s="109">
        <v>0</v>
      </c>
      <c r="G48" s="109">
        <v>100</v>
      </c>
      <c r="H48" s="10"/>
      <c r="O48" s="4"/>
      <c r="P48" s="4"/>
      <c r="Q48" s="4"/>
      <c r="R48" s="4"/>
    </row>
    <row r="49" spans="1:18" x14ac:dyDescent="0.25">
      <c r="A49" s="10"/>
      <c r="B49" t="str">
        <f ca="1">Sprache!A182</f>
        <v>cyprys</v>
      </c>
      <c r="C49" s="10">
        <v>44</v>
      </c>
      <c r="D49">
        <v>0.51</v>
      </c>
      <c r="E49" s="10"/>
      <c r="F49" s="109">
        <v>0</v>
      </c>
      <c r="G49" s="109">
        <v>100</v>
      </c>
      <c r="H49" s="10"/>
      <c r="O49" s="4"/>
      <c r="P49" s="4"/>
      <c r="Q49" s="4"/>
      <c r="R49" s="4"/>
    </row>
    <row r="50" spans="1:18" x14ac:dyDescent="0.25">
      <c r="A50" s="10"/>
      <c r="B50" t="s">
        <v>26</v>
      </c>
      <c r="C50" s="10">
        <v>45</v>
      </c>
      <c r="D50">
        <v>0</v>
      </c>
      <c r="E50" s="10"/>
      <c r="F50" s="109">
        <v>0</v>
      </c>
      <c r="G50" s="109">
        <v>0</v>
      </c>
      <c r="H50" s="10"/>
      <c r="O50" s="4"/>
      <c r="P50" s="4"/>
      <c r="Q50" s="4"/>
      <c r="R50" s="4"/>
    </row>
    <row r="51" spans="1:18" x14ac:dyDescent="0.25">
      <c r="A51" s="10"/>
      <c r="B51" t="s">
        <v>26</v>
      </c>
      <c r="C51" s="10">
        <v>46</v>
      </c>
      <c r="D51">
        <v>0</v>
      </c>
      <c r="E51" s="10"/>
      <c r="F51" s="109">
        <v>0</v>
      </c>
      <c r="G51" s="109">
        <v>0</v>
      </c>
      <c r="H51" s="10"/>
      <c r="O51" s="4"/>
      <c r="P51" s="4"/>
      <c r="Q51" s="4"/>
      <c r="R51" s="4"/>
    </row>
    <row r="52" spans="1:18" x14ac:dyDescent="0.25">
      <c r="A52" s="10"/>
      <c r="B52" t="s">
        <v>26</v>
      </c>
      <c r="C52" s="10">
        <v>47</v>
      </c>
      <c r="D52">
        <v>0</v>
      </c>
      <c r="E52" s="10"/>
      <c r="F52" s="109">
        <v>0</v>
      </c>
      <c r="G52" s="109">
        <v>0</v>
      </c>
      <c r="H52" s="10"/>
      <c r="O52" s="4"/>
      <c r="P52" s="4"/>
      <c r="Q52" s="4"/>
      <c r="R52" s="4"/>
    </row>
    <row r="53" spans="1:18" x14ac:dyDescent="0.25">
      <c r="A53" s="10"/>
      <c r="B53" t="s">
        <v>26</v>
      </c>
      <c r="C53" s="10">
        <v>48</v>
      </c>
      <c r="D53">
        <v>0</v>
      </c>
      <c r="E53" s="10"/>
      <c r="F53" s="109">
        <v>0</v>
      </c>
      <c r="G53" s="109">
        <v>0</v>
      </c>
      <c r="H53" s="10"/>
      <c r="O53" s="4"/>
      <c r="P53" s="4"/>
      <c r="Q53" s="4"/>
      <c r="R53" s="4"/>
    </row>
    <row r="54" spans="1:18" x14ac:dyDescent="0.25">
      <c r="A54" s="10"/>
      <c r="B54" t="s">
        <v>26</v>
      </c>
      <c r="C54" s="10">
        <v>49</v>
      </c>
      <c r="D54">
        <v>0</v>
      </c>
      <c r="E54" s="10"/>
      <c r="F54" s="109">
        <v>0</v>
      </c>
      <c r="G54" s="109">
        <v>0</v>
      </c>
      <c r="H54" s="10"/>
      <c r="O54" s="4"/>
      <c r="P54" s="4"/>
      <c r="Q54" s="4"/>
      <c r="R54" s="4"/>
    </row>
    <row r="55" spans="1:18" x14ac:dyDescent="0.25">
      <c r="A55" s="189" t="s">
        <v>693</v>
      </c>
      <c r="B55" s="10"/>
      <c r="C55" s="10"/>
      <c r="D55" s="10"/>
      <c r="E55" s="10"/>
      <c r="F55" s="10"/>
      <c r="G55" s="10"/>
      <c r="H55" s="10"/>
    </row>
    <row r="56" spans="1:18" x14ac:dyDescent="0.25">
      <c r="D56" s="187">
        <f>VLOOKUP(C5,C6:E54,2,FALSE)</f>
        <v>0.65</v>
      </c>
      <c r="E56" t="s">
        <v>59</v>
      </c>
      <c r="F56" t="s">
        <v>102</v>
      </c>
    </row>
    <row r="57" spans="1:18" ht="15.75" thickBot="1" x14ac:dyDescent="0.3">
      <c r="B57" t="s">
        <v>65</v>
      </c>
      <c r="C57">
        <f>KINVARO!$AW$3/10*KINVARO!$AW$4/10*KINVARO!$AW$5/10</f>
        <v>8882.5</v>
      </c>
      <c r="D57">
        <f>ROUND(C57*D56/1000,2)</f>
        <v>5.77</v>
      </c>
      <c r="E57" t="s">
        <v>66</v>
      </c>
      <c r="F57">
        <f>KINVARO!BJ10/1000</f>
        <v>0.47</v>
      </c>
      <c r="G57" t="s">
        <v>66</v>
      </c>
      <c r="I57" t="s">
        <v>104</v>
      </c>
      <c r="L57" t="s">
        <v>63</v>
      </c>
    </row>
    <row r="58" spans="1:18" ht="16.5" thickTop="1" thickBot="1" x14ac:dyDescent="0.3">
      <c r="B58" t="s">
        <v>64</v>
      </c>
      <c r="D58">
        <f>KINVARO!AW12</f>
        <v>5.8</v>
      </c>
      <c r="E58" t="s">
        <v>66</v>
      </c>
      <c r="F58">
        <f>(KINVARO!BJ12/1000)</f>
        <v>0</v>
      </c>
      <c r="G58" t="s">
        <v>66</v>
      </c>
      <c r="I58">
        <f>IF(K58=2,D57+IF(K59=TRUE,F57,F58),D58+IF(K59=TRUE,F57,F58))</f>
        <v>6.27</v>
      </c>
      <c r="K58" s="17">
        <v>1</v>
      </c>
      <c r="L58" t="s">
        <v>183</v>
      </c>
    </row>
    <row r="59" spans="1:18" ht="16.5" thickTop="1" thickBot="1" x14ac:dyDescent="0.3">
      <c r="K59" s="17" t="b">
        <v>1</v>
      </c>
      <c r="L59" t="s">
        <v>182</v>
      </c>
    </row>
    <row r="60" spans="1:18" ht="16.5" thickTop="1" thickBot="1" x14ac:dyDescent="0.3">
      <c r="K60" s="17" t="b">
        <v>0</v>
      </c>
      <c r="L60" t="s">
        <v>181</v>
      </c>
    </row>
    <row r="61" spans="1:18" ht="15.75" thickTop="1" x14ac:dyDescent="0.25"/>
    <row r="63" spans="1:18" ht="87" x14ac:dyDescent="0.25">
      <c r="A63" s="18"/>
      <c r="C63" s="83"/>
      <c r="D63" s="84" t="str">
        <f ca="1">Sprache!$A$99</f>
        <v>Strona</v>
      </c>
      <c r="E63" s="84" t="str">
        <f ca="1">Sprache!$A$98</f>
        <v>Numer do zamówienia</v>
      </c>
      <c r="F63" s="84" t="str">
        <f ca="1">Sprache!$A$97</f>
        <v>Informacja</v>
      </c>
      <c r="G63" s="83"/>
      <c r="H63" s="84" t="str">
        <f ca="1">Sprache!$A$100</f>
        <v xml:space="preserve">Siłownik/sprężyna </v>
      </c>
      <c r="I63" s="83"/>
      <c r="J63" s="15" t="str">
        <f ca="1">Sprache!$A$73</f>
        <v>Wysokość</v>
      </c>
      <c r="K63" s="15"/>
      <c r="L63" s="15" t="str">
        <f ca="1">Sprache!$A$76</f>
        <v>Ciężar</v>
      </c>
      <c r="M63" s="15"/>
      <c r="N63" s="15" t="str">
        <f ca="1">Sprache!$A$86</f>
        <v>Potrzebne będą również</v>
      </c>
      <c r="O63" s="15"/>
      <c r="P63" s="15" t="str">
        <f ca="1">Sprache!$A$88</f>
        <v>zawias</v>
      </c>
      <c r="Q63" s="15" t="str">
        <f ca="1">Sprache!$A$90</f>
        <v>prowadnik</v>
      </c>
    </row>
    <row r="64" spans="1:18" x14ac:dyDescent="0.25">
      <c r="B64" s="19" t="str">
        <f t="array" aca="1" ref="B64" ca="1">IFERROR(INDEX(Daten!$T$2:$T$393,LARGE((Daten!$B$2:$B$393='Material+Limits'!$P$18)*(ROW(Daten!$B$2:$B$393)-1),COUNTIF(Daten!$B$2:$B$393,'Material+Limits'!$P$18)+1-ROW(Daten!A1))),"")</f>
        <v>Podnośnik L-80</v>
      </c>
      <c r="C64" s="4"/>
      <c r="D64" s="2" t="str">
        <f t="array" aca="1" ref="D64" ca="1">IFERROR(INDEX(Daten!$AF$2:$AF$393,LARGE((Daten!$B$2:$B$393='Material+Limits'!$P$18)*(ROW(Daten!$B$2:$B$393)-1),COUNTIF(Daten!$B$2:$B$393,'Material+Limits'!$P$18)+1-ROW(Daten!A1))),"")</f>
        <v>Zestaw (prawy+lewy)</v>
      </c>
      <c r="E64" s="2" t="str">
        <f t="array" aca="1" ref="E64" ca="1">IFERROR(INDEX(Daten!$AE$2:$AE$393,LARGE((Daten!$B$2:$B$393='Material+Limits'!$P$18)*(ROW(Daten!$B$2:$B$393)-1),COUNTIF(Daten!$B$2:$B$393,'Material+Limits'!$P$18)+1-ROW(Daten!A1))),"")</f>
        <v>F152145253201</v>
      </c>
      <c r="F64" s="2" t="str">
        <f t="array" aca="1" ref="F64" ca="1">IFERROR(INDEX(Daten!$AG$2:$AG$393,LARGE((Daten!$B$2:$B$393='Material+Limits'!$P$18)*(ROW(Daten!$B$2:$B$393)-1),COUNTIF(Daten!$B$2:$B$393,'Material+Limits'!$P$18)+1-ROW(Daten!A1))),"")</f>
        <v>Ramię Typ 5</v>
      </c>
      <c r="G64" s="4"/>
      <c r="H64" s="2" t="str">
        <f t="array" aca="1" ref="H64" ca="1">IFERROR(INDEX(Daten!$AH$2:$AH$393,LARGE((Daten!$B$2:$B$393='Material+Limits'!$P$18)*(ROW(Daten!$B$2:$B$393)-1),COUNTIF(Daten!$B$2:$B$393,'Material+Limits'!$P$18)+1-ROW(Daten!A1))),"")</f>
        <v>Siłownik B</v>
      </c>
      <c r="I64" s="4"/>
      <c r="J64" s="2">
        <f t="array" aca="1" ref="J64" ca="1">IFERROR(INDEX(Daten!$Z$2:$Z$393,LARGE((Daten!$B$2:$B$393='Material+Limits'!$P$18)*(ROW(Daten!$B$2:$B$393)-1),COUNTIF(Daten!$B$2:$B$393,'Material+Limits'!$P$18)+1-ROW(Daten!A1))),"")</f>
        <v>430</v>
      </c>
      <c r="K64" s="16">
        <f t="array" aca="1" ref="K64" ca="1">IFERROR(INDEX(Daten!$AA$2:$AA$393,LARGE((Daten!$B$2:$B$393='Material+Limits'!$P$18)*(ROW(Daten!$B$2:$B$393)-1),COUNTIF(Daten!$B$2:$B$393,'Material+Limits'!$P$18)+1-ROW(Daten!A1))),"")</f>
        <v>600</v>
      </c>
      <c r="L64" s="11">
        <f t="array" aca="1" ref="L64" ca="1">IFERROR(INDEX(Daten!$AC$2:$AC$393,LARGE((Daten!$B$2:$B$393='Material+Limits'!$P$18)*(ROW(Daten!$B$2:$B$393)-1),COUNTIF(Daten!$B$2:$B$393,'Material+Limits'!$P$18)+1-ROW(Daten!A1))),"")</f>
        <v>4</v>
      </c>
      <c r="M64" s="16">
        <f t="array" aca="1" ref="M64" ca="1">IFERROR(INDEX(Daten!$AD$2:$AD$393,LARGE((Daten!$B$2:$B$393='Material+Limits'!$P$18)*(ROW(Daten!$B$2:$B$393)-1),COUNTIF(Daten!$B$2:$B$393,'Material+Limits'!$P$18)+1-ROW(Daten!A1))),"")</f>
        <v>7.5</v>
      </c>
      <c r="N64" s="2" t="str">
        <f t="array" aca="1" ref="N64" ca="1">IFERROR(INDEX(Daten!$AI$2:$AI$393,LARGE((Daten!$B$2:$B$393='Material+Limits'!$P$18)*(ROW(Daten!$B$2:$B$393)-1),COUNTIF(Daten!$B$2:$B$393,'Material+Limits'!$P$18)+1-ROW(Daten!A1))),"")</f>
        <v>-</v>
      </c>
      <c r="O64" s="20" t="str">
        <f t="array" aca="1" ref="O64" ca="1">IFERROR(INDEX(Daten!$AJ$2:$AJ$393,LARGE((Daten!$B$2:$B$393='Material+Limits'!$P$18)*(ROW(Daten!$B$2:$B$393)-1),COUNTIF(Daten!$B$2:$B$393,'Material+Limits'!$P$18)+1-ROW(Daten!A1))),"")</f>
        <v>-</v>
      </c>
      <c r="P64">
        <f t="array" aca="1" ref="P64" ca="1">IFERROR(INDEX(Daten!$AM$2:$AM$393,LARGE((Daten!$B$2:$B$393='Material+Limits'!$P$18)*(ROW(Daten!$B$2:$B$393)-1),COUNTIF(Daten!$B$2:$B$393,'Material+Limits'!$P$18)+1-ROW(Daten!A1))),"")</f>
        <v>0</v>
      </c>
      <c r="Q64">
        <f t="array" aca="1" ref="Q64" ca="1">IFERROR(INDEX(Daten!$AN$2:$AN$393,LARGE((Daten!$B$2:$B$393='Material+Limits'!$P$18)*(ROW(Daten!$B$2:$B$393)-1),COUNTIF(Daten!$B$2:$B$393,'Material+Limits'!$P$18)+1-ROW(Daten!A1))),"")</f>
        <v>0</v>
      </c>
    </row>
    <row r="65" spans="2:17" x14ac:dyDescent="0.25">
      <c r="B65" s="19" t="str">
        <f t="array" aca="1" ref="B65" ca="1">IFERROR(INDEX(Daten!$T$2:$T$393,LARGE((Daten!$B$2:$B$393='Material+Limits'!$P$18)*(ROW(Daten!$B$2:$B$393)-1),COUNTIF(Daten!$B$2:$B$393,'Material+Limits'!$P$18)+1-ROW(Daten!A2))),"")</f>
        <v xml:space="preserve">Podnośnik F-20 </v>
      </c>
      <c r="C65" s="4"/>
      <c r="D65" s="2" t="str">
        <f t="array" aca="1" ref="D65" ca="1">IFERROR(INDEX(Daten!$AF$2:$AF$393,LARGE((Daten!$B$2:$B$393='Material+Limits'!$P$18)*(ROW(Daten!$B$2:$B$393)-1),COUNTIF(Daten!$B$2:$B$393,'Material+Limits'!$P$18)+1-ROW(Daten!A2))),"")</f>
        <v>Zestaw (prawy+lewy)</v>
      </c>
      <c r="E65" s="2" t="str">
        <f t="array" aca="1" ref="E65" ca="1">IFERROR(INDEX(Daten!$AE$2:$AE$393,LARGE((Daten!$B$2:$B$393='Material+Limits'!$P$18)*(ROW(Daten!$B$2:$B$393)-1),COUNTIF(Daten!$B$2:$B$393,'Material+Limits'!$P$18)+1-ROW(Daten!A2))),"")</f>
        <v>F152145237201</v>
      </c>
      <c r="F65" s="2" t="str">
        <f t="array" aca="1" ref="F65" ca="1">IFERROR(INDEX(Daten!$AG$2:$AG$393,LARGE((Daten!$B$2:$B$393='Material+Limits'!$P$18)*(ROW(Daten!$B$2:$B$393)-1),COUNTIF(Daten!$B$2:$B$393,'Material+Limits'!$P$18)+1-ROW(Daten!A2))),"")</f>
        <v>Ramię Typ 2</v>
      </c>
      <c r="G65" s="4"/>
      <c r="H65" s="2" t="str">
        <f t="array" aca="1" ref="H65" ca="1">IFERROR(INDEX(Daten!$AH$2:$AH$393,LARGE((Daten!$B$2:$B$393='Material+Limits'!$P$18)*(ROW(Daten!$B$2:$B$393)-1),COUNTIF(Daten!$B$2:$B$393,'Material+Limits'!$P$18)+1-ROW(Daten!A2))),"")</f>
        <v>Siłownik B</v>
      </c>
      <c r="I65" s="4"/>
      <c r="J65" s="2">
        <f t="array" aca="1" ref="J65" ca="1">IFERROR(INDEX(Daten!$Z$2:$Z$393,LARGE((Daten!$B$2:$B$393='Material+Limits'!$P$18)*(ROW(Daten!$B$2:$B$393)-1),COUNTIF(Daten!$B$2:$B$393,'Material+Limits'!$P$18)+1-ROW(Daten!A2))),"")</f>
        <v>520</v>
      </c>
      <c r="K65" s="16">
        <f t="array" aca="1" ref="K65" ca="1">IFERROR(INDEX(Daten!$AA$2:$AA$393,LARGE((Daten!$B$2:$B$393='Material+Limits'!$P$18)*(ROW(Daten!$B$2:$B$393)-1),COUNTIF(Daten!$B$2:$B$393,'Material+Limits'!$P$18)+1-ROW(Daten!A2))),"")</f>
        <v>559</v>
      </c>
      <c r="L65" s="11">
        <f t="array" aca="1" ref="L65" ca="1">IFERROR(INDEX(Daten!$AC$2:$AC$393,LARGE((Daten!$B$2:$B$393='Material+Limits'!$P$18)*(ROW(Daten!$B$2:$B$393)-1),COUNTIF(Daten!$B$2:$B$393,'Material+Limits'!$P$18)+1-ROW(Daten!A2))),"")</f>
        <v>4.5999999999999996</v>
      </c>
      <c r="M65" s="16">
        <f t="array" aca="1" ref="M65" ca="1">IFERROR(INDEX(Daten!$AD$2:$AD$393,LARGE((Daten!$B$2:$B$393='Material+Limits'!$P$18)*(ROW(Daten!$B$2:$B$393)-1),COUNTIF(Daten!$B$2:$B$393,'Material+Limits'!$P$18)+1-ROW(Daten!A2))),"")</f>
        <v>13.8</v>
      </c>
      <c r="N65" s="2" t="str">
        <f t="array" aca="1" ref="N65" ca="1">IFERROR(INDEX(Daten!$AI$2:$AI$393,LARGE((Daten!$B$2:$B$393='Material+Limits'!$P$18)*(ROW(Daten!$B$2:$B$393)-1),COUNTIF(Daten!$B$2:$B$393,'Material+Limits'!$P$18)+1-ROW(Daten!A2))),"")</f>
        <v>-</v>
      </c>
      <c r="O65" s="20" t="str">
        <f t="array" aca="1" ref="O65" ca="1">IFERROR(INDEX(Daten!$AJ$2:$AJ$393,LARGE((Daten!$B$2:$B$393='Material+Limits'!$P$18)*(ROW(Daten!$B$2:$B$393)-1),COUNTIF(Daten!$B$2:$B$393,'Material+Limits'!$P$18)+1-ROW(Daten!A2))),"")</f>
        <v>-</v>
      </c>
      <c r="P65" t="str">
        <f t="array" aca="1" ref="P65" ca="1">IFERROR(INDEX(Daten!$AM$2:$AM$393,LARGE((Daten!$B$2:$B$393='Material+Limits'!$P$18)*(ROW(Daten!$B$2:$B$393)-1),COUNTIF(Daten!$B$2:$B$393,'Material+Limits'!$P$18)+1-ROW(Daten!A2))),"")</f>
        <v>TIOMOS 120° zawias</v>
      </c>
      <c r="Q65" t="str">
        <f t="array" aca="1" ref="Q65" ca="1">IFERROR(INDEX(Daten!$AN$2:$AN$393,LARGE((Daten!$B$2:$B$393='Material+Limits'!$P$18)*(ROW(Daten!$B$2:$B$393)-1),COUNTIF(Daten!$B$2:$B$393,'Material+Limits'!$P$18)+1-ROW(Daten!A2))),"")</f>
        <v>1D° prowadnik</v>
      </c>
    </row>
    <row r="66" spans="2:17" x14ac:dyDescent="0.25">
      <c r="B66" s="19" t="str">
        <f t="array" aca="1" ref="B66" ca="1">IFERROR(INDEX(Daten!$T$2:$T$393,LARGE((Daten!$B$2:$B$393='Material+Limits'!$P$18)*(ROW(Daten!$B$2:$B$393)-1),COUNTIF(Daten!$B$2:$B$393,'Material+Limits'!$P$18)+1-ROW(Daten!A3))),"")</f>
        <v>Podnośnik T-76</v>
      </c>
      <c r="C66" s="4"/>
      <c r="D66" s="2" t="str">
        <f t="array" aca="1" ref="D66" ca="1">IFERROR(INDEX(Daten!$AF$2:$AF$393,LARGE((Daten!$B$2:$B$393='Material+Limits'!$P$18)*(ROW(Daten!$B$2:$B$393)-1),COUNTIF(Daten!$B$2:$B$393,'Material+Limits'!$P$18)+1-ROW(Daten!A3))),"")</f>
        <v>Zestaw (prawy+lewy)</v>
      </c>
      <c r="E66" s="2" t="str">
        <f t="array" aca="1" ref="E66" ca="1">IFERROR(INDEX(Daten!$AE$2:$AE$393,LARGE((Daten!$B$2:$B$393='Material+Limits'!$P$18)*(ROW(Daten!$B$2:$B$393)-1),COUNTIF(Daten!$B$2:$B$393,'Material+Limits'!$P$18)+1-ROW(Daten!A3))),"")</f>
        <v>F151147706201</v>
      </c>
      <c r="F66" s="2" t="str">
        <f t="array" aca="1" ref="F66" ca="1">IFERROR(INDEX(Daten!$AG$2:$AG$393,LARGE((Daten!$B$2:$B$393='Material+Limits'!$P$18)*(ROW(Daten!$B$2:$B$393)-1),COUNTIF(Daten!$B$2:$B$393,'Material+Limits'!$P$18)+1-ROW(Daten!A3))),"")</f>
        <v>-</v>
      </c>
      <c r="G66" s="4"/>
      <c r="H66" s="2" t="str">
        <f t="array" aca="1" ref="H66" ca="1">IFERROR(INDEX(Daten!$AH$2:$AH$393,LARGE((Daten!$B$2:$B$393='Material+Limits'!$P$18)*(ROW(Daten!$B$2:$B$393)-1),COUNTIF(Daten!$B$2:$B$393,'Material+Limits'!$P$18)+1-ROW(Daten!A3))),"")</f>
        <v>Sprężyna standard</v>
      </c>
      <c r="I66" s="4"/>
      <c r="J66" s="2">
        <f t="array" aca="1" ref="J66" ca="1">IFERROR(INDEX(Daten!$Z$2:$Z$393,LARGE((Daten!$B$2:$B$393='Material+Limits'!$P$18)*(ROW(Daten!$B$2:$B$393)-1),COUNTIF(Daten!$B$2:$B$393,'Material+Limits'!$P$18)+1-ROW(Daten!A3))),"")</f>
        <v>550</v>
      </c>
      <c r="K66" s="16">
        <f t="array" aca="1" ref="K66" ca="1">IFERROR(INDEX(Daten!$AA$2:$AA$393,LARGE((Daten!$B$2:$B$393='Material+Limits'!$P$18)*(ROW(Daten!$B$2:$B$393)-1),COUNTIF(Daten!$B$2:$B$393,'Material+Limits'!$P$18)+1-ROW(Daten!A3))),"")</f>
        <v>599</v>
      </c>
      <c r="L66" s="11">
        <f t="array" aca="1" ref="L66" ca="1">IFERROR(INDEX(Daten!$AC$2:$AC$393,LARGE((Daten!$B$2:$B$393='Material+Limits'!$P$18)*(ROW(Daten!$B$2:$B$393)-1),COUNTIF(Daten!$B$2:$B$393,'Material+Limits'!$P$18)+1-ROW(Daten!A3))),"")</f>
        <v>5.6</v>
      </c>
      <c r="M66" s="16">
        <f t="array" aca="1" ref="M66" ca="1">IFERROR(INDEX(Daten!$AD$2:$AD$393,LARGE((Daten!$B$2:$B$393='Material+Limits'!$P$18)*(ROW(Daten!$B$2:$B$393)-1),COUNTIF(Daten!$B$2:$B$393,'Material+Limits'!$P$18)+1-ROW(Daten!A3))),"")</f>
        <v>7.6</v>
      </c>
      <c r="N66" s="2" t="str">
        <f t="array" aca="1" ref="N66" ca="1">IFERROR(INDEX(Daten!$AI$2:$AI$393,LARGE((Daten!$B$2:$B$393='Material+Limits'!$P$18)*(ROW(Daten!$B$2:$B$393)-1),COUNTIF(Daten!$B$2:$B$393,'Material+Limits'!$P$18)+1-ROW(Daten!A3))),"")</f>
        <v>-</v>
      </c>
      <c r="O66" s="20" t="str">
        <f t="array" aca="1" ref="O66" ca="1">IFERROR(INDEX(Daten!$AJ$2:$AJ$393,LARGE((Daten!$B$2:$B$393='Material+Limits'!$P$18)*(ROW(Daten!$B$2:$B$393)-1),COUNTIF(Daten!$B$2:$B$393,'Material+Limits'!$P$18)+1-ROW(Daten!A3))),"")</f>
        <v>-</v>
      </c>
      <c r="P66">
        <f t="array" aca="1" ref="P66" ca="1">IFERROR(INDEX(Daten!$AM$2:$AM$393,LARGE((Daten!$B$2:$B$393='Material+Limits'!$P$18)*(ROW(Daten!$B$2:$B$393)-1),COUNTIF(Daten!$B$2:$B$393,'Material+Limits'!$P$18)+1-ROW(Daten!A3))),"")</f>
        <v>0</v>
      </c>
      <c r="Q66">
        <f t="array" aca="1" ref="Q66" ca="1">IFERROR(INDEX(Daten!$AN$2:$AN$393,LARGE((Daten!$B$2:$B$393='Material+Limits'!$P$18)*(ROW(Daten!$B$2:$B$393)-1),COUNTIF(Daten!$B$2:$B$393,'Material+Limits'!$P$18)+1-ROW(Daten!A3))),"")</f>
        <v>0</v>
      </c>
    </row>
    <row r="67" spans="2:17" x14ac:dyDescent="0.25">
      <c r="B67" s="19" t="str">
        <f t="array" aca="1" ref="B67" ca="1">IFERROR(INDEX(Daten!$T$2:$T$393,LARGE((Daten!$B$2:$B$393='Material+Limits'!$P$18)*(ROW(Daten!$B$2:$B$393)-1),COUNTIF(Daten!$B$2:$B$393,'Material+Limits'!$P$18)+1-ROW(Daten!A4))),"")</f>
        <v xml:space="preserve">Podnośnik T-75 </v>
      </c>
      <c r="C67" s="4"/>
      <c r="D67" s="2" t="str">
        <f t="array" aca="1" ref="D67" ca="1">IFERROR(INDEX(Daten!$AF$2:$AF$393,LARGE((Daten!$B$2:$B$393='Material+Limits'!$P$18)*(ROW(Daten!$B$2:$B$393)-1),COUNTIF(Daten!$B$2:$B$393,'Material+Limits'!$P$18)+1-ROW(Daten!A4))),"")</f>
        <v>Zestaw (prawy+lewy)</v>
      </c>
      <c r="E67" s="2" t="str">
        <f t="array" aca="1" ref="E67" ca="1">IFERROR(INDEX(Daten!$AE$2:$AE$393,LARGE((Daten!$B$2:$B$393='Material+Limits'!$P$18)*(ROW(Daten!$B$2:$B$393)-1),COUNTIF(Daten!$B$2:$B$393,'Material+Limits'!$P$18)+1-ROW(Daten!A4))),"")</f>
        <v>F151147699201</v>
      </c>
      <c r="F67" s="2" t="str">
        <f t="array" aca="1" ref="F67" ca="1">IFERROR(INDEX(Daten!$AG$2:$AG$393,LARGE((Daten!$B$2:$B$393='Material+Limits'!$P$18)*(ROW(Daten!$B$2:$B$393)-1),COUNTIF(Daten!$B$2:$B$393,'Material+Limits'!$P$18)+1-ROW(Daten!A4))),"")</f>
        <v>-</v>
      </c>
      <c r="G67" s="4"/>
      <c r="H67" s="2" t="str">
        <f t="array" aca="1" ref="H67" ca="1">IFERROR(INDEX(Daten!$AH$2:$AH$393,LARGE((Daten!$B$2:$B$393='Material+Limits'!$P$18)*(ROW(Daten!$B$2:$B$393)-1),COUNTIF(Daten!$B$2:$B$393,'Material+Limits'!$P$18)+1-ROW(Daten!A4))),"")</f>
        <v>Sprężyna standard</v>
      </c>
      <c r="I67" s="4"/>
      <c r="J67" s="2">
        <f t="array" aca="1" ref="J67" ca="1">IFERROR(INDEX(Daten!$Z$2:$Z$393,LARGE((Daten!$B$2:$B$393='Material+Limits'!$P$18)*(ROW(Daten!$B$2:$B$393)-1),COUNTIF(Daten!$B$2:$B$393,'Material+Limits'!$P$18)+1-ROW(Daten!A4))),"")</f>
        <v>550</v>
      </c>
      <c r="K67" s="16">
        <f t="array" aca="1" ref="K67" ca="1">IFERROR(INDEX(Daten!$AA$2:$AA$393,LARGE((Daten!$B$2:$B$393='Material+Limits'!$P$18)*(ROW(Daten!$B$2:$B$393)-1),COUNTIF(Daten!$B$2:$B$393,'Material+Limits'!$P$18)+1-ROW(Daten!A4))),"")</f>
        <v>599</v>
      </c>
      <c r="L67" s="11">
        <f t="array" aca="1" ref="L67" ca="1">IFERROR(INDEX(Daten!$AC$2:$AC$393,LARGE((Daten!$B$2:$B$393='Material+Limits'!$P$18)*(ROW(Daten!$B$2:$B$393)-1),COUNTIF(Daten!$B$2:$B$393,'Material+Limits'!$P$18)+1-ROW(Daten!A4))),"")</f>
        <v>5.6</v>
      </c>
      <c r="M67" s="16">
        <f t="array" aca="1" ref="M67" ca="1">IFERROR(INDEX(Daten!$AD$2:$AD$393,LARGE((Daten!$B$2:$B$393='Material+Limits'!$P$18)*(ROW(Daten!$B$2:$B$393)-1),COUNTIF(Daten!$B$2:$B$393,'Material+Limits'!$P$18)+1-ROW(Daten!A4))),"")</f>
        <v>7.6</v>
      </c>
      <c r="N67" s="2" t="str">
        <f t="array" aca="1" ref="N67" ca="1">IFERROR(INDEX(Daten!$AI$2:$AI$393,LARGE((Daten!$B$2:$B$393='Material+Limits'!$P$18)*(ROW(Daten!$B$2:$B$393)-1),COUNTIF(Daten!$B$2:$B$393,'Material+Limits'!$P$18)+1-ROW(Daten!A4))),"")</f>
        <v>-</v>
      </c>
      <c r="O67" s="20" t="str">
        <f t="array" aca="1" ref="O67" ca="1">IFERROR(INDEX(Daten!$AJ$2:$AJ$393,LARGE((Daten!$B$2:$B$393='Material+Limits'!$P$18)*(ROW(Daten!$B$2:$B$393)-1),COUNTIF(Daten!$B$2:$B$393,'Material+Limits'!$P$18)+1-ROW(Daten!A4))),"")</f>
        <v>-</v>
      </c>
      <c r="P67">
        <f t="array" aca="1" ref="P67" ca="1">IFERROR(INDEX(Daten!$AM$2:$AM$393,LARGE((Daten!$B$2:$B$393='Material+Limits'!$P$18)*(ROW(Daten!$B$2:$B$393)-1),COUNTIF(Daten!$B$2:$B$393,'Material+Limits'!$P$18)+1-ROW(Daten!A4))),"")</f>
        <v>0</v>
      </c>
      <c r="Q67">
        <f t="array" aca="1" ref="Q67" ca="1">IFERROR(INDEX(Daten!$AN$2:$AN$393,LARGE((Daten!$B$2:$B$393='Material+Limits'!$P$18)*(ROW(Daten!$B$2:$B$393)-1),COUNTIF(Daten!$B$2:$B$393,'Material+Limits'!$P$18)+1-ROW(Daten!A4))),"")</f>
        <v>0</v>
      </c>
    </row>
    <row r="68" spans="2:17" x14ac:dyDescent="0.25">
      <c r="B68" s="19" t="str">
        <f t="array" aca="1" ref="B68" ca="1">IFERROR(INDEX(Daten!$T$2:$T$393,LARGE((Daten!$B$2:$B$393='Material+Limits'!$P$18)*(ROW(Daten!$B$2:$B$393)-1),COUNTIF(Daten!$B$2:$B$393,'Material+Limits'!$P$18)+1-ROW(Daten!A5))),"")</f>
        <v>Podnośnik S-35</v>
      </c>
      <c r="C68" s="4"/>
      <c r="D68" s="2" t="str">
        <f t="array" aca="1" ref="D68" ca="1">IFERROR(INDEX(Daten!$AF$2:$AF$393,LARGE((Daten!$B$2:$B$393='Material+Limits'!$P$18)*(ROW(Daten!$B$2:$B$393)-1),COUNTIF(Daten!$B$2:$B$393,'Material+Limits'!$P$18)+1-ROW(Daten!A5))),"")</f>
        <v>Zestaw (prawy+lewy)</v>
      </c>
      <c r="E68" s="2" t="str">
        <f t="array" aca="1" ref="E68" ca="1">IFERROR(INDEX(Daten!$AE$2:$AE$393,LARGE((Daten!$B$2:$B$393='Material+Limits'!$P$18)*(ROW(Daten!$B$2:$B$393)-1),COUNTIF(Daten!$B$2:$B$393,'Material+Limits'!$P$18)+1-ROW(Daten!A5))),"")</f>
        <v>F152000256201</v>
      </c>
      <c r="F68" s="2" t="str">
        <f t="array" aca="1" ref="F68" ca="1">IFERROR(INDEX(Daten!$AG$2:$AG$393,LARGE((Daten!$B$2:$B$393='Material+Limits'!$P$18)*(ROW(Daten!$B$2:$B$393)-1),COUNTIF(Daten!$B$2:$B$393,'Material+Limits'!$P$18)+1-ROW(Daten!A5))),"")</f>
        <v>-</v>
      </c>
      <c r="G68" s="4"/>
      <c r="H68" s="2" t="str">
        <f t="array" aca="1" ref="H68" ca="1">IFERROR(INDEX(Daten!$AH$2:$AH$393,LARGE((Daten!$B$2:$B$393='Material+Limits'!$P$18)*(ROW(Daten!$B$2:$B$393)-1),COUNTIF(Daten!$B$2:$B$393,'Material+Limits'!$P$18)+1-ROW(Daten!A5))),"")</f>
        <v>Siłownik B</v>
      </c>
      <c r="I68" s="4"/>
      <c r="J68" s="2">
        <f t="array" aca="1" ref="J68" ca="1">IFERROR(INDEX(Daten!$Z$2:$Z$393,LARGE((Daten!$B$2:$B$393='Material+Limits'!$P$18)*(ROW(Daten!$B$2:$B$393)-1),COUNTIF(Daten!$B$2:$B$393,'Material+Limits'!$P$18)+1-ROW(Daten!A5))),"")</f>
        <v>540</v>
      </c>
      <c r="K68" s="16">
        <f t="array" aca="1" ref="K68" ca="1">IFERROR(INDEX(Daten!$AA$2:$AA$393,LARGE((Daten!$B$2:$B$393='Material+Limits'!$P$18)*(ROW(Daten!$B$2:$B$393)-1),COUNTIF(Daten!$B$2:$B$393,'Material+Limits'!$P$18)+1-ROW(Daten!A5))),"")</f>
        <v>569</v>
      </c>
      <c r="L68" s="11">
        <f t="array" aca="1" ref="L68" ca="1">IFERROR(INDEX(Daten!$AC$2:$AC$393,LARGE((Daten!$B$2:$B$393='Material+Limits'!$P$18)*(ROW(Daten!$B$2:$B$393)-1),COUNTIF(Daten!$B$2:$B$393,'Material+Limits'!$P$18)+1-ROW(Daten!A5))),"")</f>
        <v>5</v>
      </c>
      <c r="M68" s="16">
        <f t="array" aca="1" ref="M68" ca="1">IFERROR(INDEX(Daten!$AD$2:$AD$393,LARGE((Daten!$B$2:$B$393='Material+Limits'!$P$18)*(ROW(Daten!$B$2:$B$393)-1),COUNTIF(Daten!$B$2:$B$393,'Material+Limits'!$P$18)+1-ROW(Daten!A5))),"")</f>
        <v>12.5</v>
      </c>
      <c r="N68" s="2" t="str">
        <f t="array" aca="1" ref="N68" ca="1">IFERROR(INDEX(Daten!$AI$2:$AI$393,LARGE((Daten!$B$2:$B$393='Material+Limits'!$P$18)*(ROW(Daten!$B$2:$B$393)-1),COUNTIF(Daten!$B$2:$B$393,'Material+Limits'!$P$18)+1-ROW(Daten!A5))),"")</f>
        <v>-</v>
      </c>
      <c r="O68" s="20" t="str">
        <f t="array" aca="1" ref="O68" ca="1">IFERROR(INDEX(Daten!$AJ$2:$AJ$393,LARGE((Daten!$B$2:$B$393='Material+Limits'!$P$18)*(ROW(Daten!$B$2:$B$393)-1),COUNTIF(Daten!$B$2:$B$393,'Material+Limits'!$P$18)+1-ROW(Daten!A5))),"")</f>
        <v>-</v>
      </c>
      <c r="P68">
        <f t="array" aca="1" ref="P68" ca="1">IFERROR(INDEX(Daten!$AM$2:$AM$393,LARGE((Daten!$B$2:$B$393='Material+Limits'!$P$18)*(ROW(Daten!$B$2:$B$393)-1),COUNTIF(Daten!$B$2:$B$393,'Material+Limits'!$P$18)+1-ROW(Daten!A5))),"")</f>
        <v>0</v>
      </c>
      <c r="Q68">
        <f t="array" aca="1" ref="Q68" ca="1">IFERROR(INDEX(Daten!$AN$2:$AN$393,LARGE((Daten!$B$2:$B$393='Material+Limits'!$P$18)*(ROW(Daten!$B$2:$B$393)-1),COUNTIF(Daten!$B$2:$B$393,'Material+Limits'!$P$18)+1-ROW(Daten!A5))),"")</f>
        <v>0</v>
      </c>
    </row>
    <row r="69" spans="2:17" x14ac:dyDescent="0.25">
      <c r="B69" s="19" t="str">
        <f t="array" aca="1" ref="B69" ca="1">IFERROR(INDEX(Daten!$T$2:$T$393,LARGE((Daten!$B$2:$B$393='Material+Limits'!$P$18)*(ROW(Daten!$B$2:$B$393)-1),COUNTIF(Daten!$B$2:$B$393,'Material+Limits'!$P$18)+1-ROW(Daten!A6))),"")</f>
        <v>Podnośnik S-35</v>
      </c>
      <c r="C69" s="4"/>
      <c r="D69" s="2" t="str">
        <f t="array" aca="1" ref="D69" ca="1">IFERROR(INDEX(Daten!$AF$2:$AF$393,LARGE((Daten!$B$2:$B$393='Material+Limits'!$P$18)*(ROW(Daten!$B$2:$B$393)-1),COUNTIF(Daten!$B$2:$B$393,'Material+Limits'!$P$18)+1-ROW(Daten!A6))),"")</f>
        <v>Zestaw (prawy+lewy)</v>
      </c>
      <c r="E69" s="2" t="str">
        <f t="array" aca="1" ref="E69" ca="1">IFERROR(INDEX(Daten!$AE$2:$AE$393,LARGE((Daten!$B$2:$B$393='Material+Limits'!$P$18)*(ROW(Daten!$B$2:$B$393)-1),COUNTIF(Daten!$B$2:$B$393,'Material+Limits'!$P$18)+1-ROW(Daten!A6))),"")</f>
        <v>F152000257201</v>
      </c>
      <c r="F69" s="2" t="str">
        <f t="array" aca="1" ref="F69" ca="1">IFERROR(INDEX(Daten!$AG$2:$AG$393,LARGE((Daten!$B$2:$B$393='Material+Limits'!$P$18)*(ROW(Daten!$B$2:$B$393)-1),COUNTIF(Daten!$B$2:$B$393,'Material+Limits'!$P$18)+1-ROW(Daten!A6))),"")</f>
        <v>-</v>
      </c>
      <c r="G69" s="4"/>
      <c r="H69" s="2" t="str">
        <f t="array" aca="1" ref="H69" ca="1">IFERROR(INDEX(Daten!$AH$2:$AH$393,LARGE((Daten!$B$2:$B$393='Material+Limits'!$P$18)*(ROW(Daten!$B$2:$B$393)-1),COUNTIF(Daten!$B$2:$B$393,'Material+Limits'!$P$18)+1-ROW(Daten!A6))),"")</f>
        <v>Siłownik C</v>
      </c>
      <c r="I69" s="4"/>
      <c r="J69" s="2">
        <f t="array" aca="1" ref="J69" ca="1">IFERROR(INDEX(Daten!$Z$2:$Z$393,LARGE((Daten!$B$2:$B$393='Material+Limits'!$P$18)*(ROW(Daten!$B$2:$B$393)-1),COUNTIF(Daten!$B$2:$B$393,'Material+Limits'!$P$18)+1-ROW(Daten!A6))),"")</f>
        <v>540</v>
      </c>
      <c r="K69" s="16">
        <f t="array" aca="1" ref="K69" ca="1">IFERROR(INDEX(Daten!$AA$2:$AA$393,LARGE((Daten!$B$2:$B$393='Material+Limits'!$P$18)*(ROW(Daten!$B$2:$B$393)-1),COUNTIF(Daten!$B$2:$B$393,'Material+Limits'!$P$18)+1-ROW(Daten!A6))),"")</f>
        <v>569</v>
      </c>
      <c r="L69" s="11">
        <f t="array" aca="1" ref="L69" ca="1">IFERROR(INDEX(Daten!$AC$2:$AC$393,LARGE((Daten!$B$2:$B$393='Material+Limits'!$P$18)*(ROW(Daten!$B$2:$B$393)-1),COUNTIF(Daten!$B$2:$B$393,'Material+Limits'!$P$18)+1-ROW(Daten!A6))),"")</f>
        <v>6</v>
      </c>
      <c r="M69" s="16">
        <f t="array" aca="1" ref="M69" ca="1">IFERROR(INDEX(Daten!$AD$2:$AD$393,LARGE((Daten!$B$2:$B$393='Material+Limits'!$P$18)*(ROW(Daten!$B$2:$B$393)-1),COUNTIF(Daten!$B$2:$B$393,'Material+Limits'!$P$18)+1-ROW(Daten!A6))),"")</f>
        <v>14</v>
      </c>
      <c r="N69" s="2" t="str">
        <f t="array" aca="1" ref="N69" ca="1">IFERROR(INDEX(Daten!$AI$2:$AI$393,LARGE((Daten!$B$2:$B$393='Material+Limits'!$P$18)*(ROW(Daten!$B$2:$B$393)-1),COUNTIF(Daten!$B$2:$B$393,'Material+Limits'!$P$18)+1-ROW(Daten!A6))),"")</f>
        <v>-</v>
      </c>
      <c r="O69" s="20" t="str">
        <f t="array" aca="1" ref="O69" ca="1">IFERROR(INDEX(Daten!$AJ$2:$AJ$393,LARGE((Daten!$B$2:$B$393='Material+Limits'!$P$18)*(ROW(Daten!$B$2:$B$393)-1),COUNTIF(Daten!$B$2:$B$393,'Material+Limits'!$P$18)+1-ROW(Daten!A6))),"")</f>
        <v>-</v>
      </c>
      <c r="P69">
        <f t="array" aca="1" ref="P69" ca="1">IFERROR(INDEX(Daten!$AM$2:$AM$393,LARGE((Daten!$B$2:$B$393='Material+Limits'!$P$18)*(ROW(Daten!$B$2:$B$393)-1),COUNTIF(Daten!$B$2:$B$393,'Material+Limits'!$P$18)+1-ROW(Daten!A6))),"")</f>
        <v>0</v>
      </c>
      <c r="Q69">
        <f t="array" aca="1" ref="Q69" ca="1">IFERROR(INDEX(Daten!$AN$2:$AN$393,LARGE((Daten!$B$2:$B$393='Material+Limits'!$P$18)*(ROW(Daten!$B$2:$B$393)-1),COUNTIF(Daten!$B$2:$B$393,'Material+Limits'!$P$18)+1-ROW(Daten!A6))),"")</f>
        <v>0</v>
      </c>
    </row>
    <row r="70" spans="2:17" x14ac:dyDescent="0.25">
      <c r="B70" s="19" t="str">
        <f t="array" aca="1" ref="B70" ca="1">IFERROR(INDEX(Daten!$T$2:$T$393,LARGE((Daten!$B$2:$B$393='Material+Limits'!$P$18)*(ROW(Daten!$B$2:$B$393)-1),COUNTIF(Daten!$B$2:$B$393,'Material+Limits'!$P$18)+1-ROW(Daten!A7))),"")</f>
        <v/>
      </c>
      <c r="C70" s="4"/>
      <c r="D70" s="2" t="str">
        <f t="array" aca="1" ref="D70" ca="1">IFERROR(INDEX(Daten!$AF$2:$AF$393,LARGE((Daten!$B$2:$B$393='Material+Limits'!$P$18)*(ROW(Daten!$B$2:$B$393)-1),COUNTIF(Daten!$B$2:$B$393,'Material+Limits'!$P$18)+1-ROW(Daten!A7))),"")</f>
        <v/>
      </c>
      <c r="E70" s="2" t="str">
        <f t="array" aca="1" ref="E70" ca="1">IFERROR(INDEX(Daten!$AE$2:$AE$393,LARGE((Daten!$B$2:$B$393='Material+Limits'!$P$18)*(ROW(Daten!$B$2:$B$393)-1),COUNTIF(Daten!$B$2:$B$393,'Material+Limits'!$P$18)+1-ROW(Daten!A7))),"")</f>
        <v/>
      </c>
      <c r="F70" s="2" t="str">
        <f t="array" aca="1" ref="F70" ca="1">IFERROR(INDEX(Daten!$AG$2:$AG$393,LARGE((Daten!$B$2:$B$393='Material+Limits'!$P$18)*(ROW(Daten!$B$2:$B$393)-1),COUNTIF(Daten!$B$2:$B$393,'Material+Limits'!$P$18)+1-ROW(Daten!A7))),"")</f>
        <v/>
      </c>
      <c r="G70" s="4"/>
      <c r="H70" s="2" t="str">
        <f t="array" aca="1" ref="H70" ca="1">IFERROR(INDEX(Daten!$AH$2:$AH$393,LARGE((Daten!$B$2:$B$393='Material+Limits'!$P$18)*(ROW(Daten!$B$2:$B$393)-1),COUNTIF(Daten!$B$2:$B$393,'Material+Limits'!$P$18)+1-ROW(Daten!A7))),"")</f>
        <v/>
      </c>
      <c r="I70" s="4"/>
      <c r="J70" s="2" t="str">
        <f t="array" aca="1" ref="J70" ca="1">IFERROR(INDEX(Daten!$Z$2:$Z$393,LARGE((Daten!$B$2:$B$393='Material+Limits'!$P$18)*(ROW(Daten!$B$2:$B$393)-1),COUNTIF(Daten!$B$2:$B$393,'Material+Limits'!$P$18)+1-ROW(Daten!A7))),"")</f>
        <v/>
      </c>
      <c r="K70" s="16" t="str">
        <f t="array" aca="1" ref="K70" ca="1">IFERROR(INDEX(Daten!$AA$2:$AA$393,LARGE((Daten!$B$2:$B$393='Material+Limits'!$P$18)*(ROW(Daten!$B$2:$B$393)-1),COUNTIF(Daten!$B$2:$B$393,'Material+Limits'!$P$18)+1-ROW(Daten!A7))),"")</f>
        <v/>
      </c>
      <c r="L70" s="11" t="str">
        <f t="array" aca="1" ref="L70" ca="1">IFERROR(INDEX(Daten!$AC$2:$AC$393,LARGE((Daten!$B$2:$B$393='Material+Limits'!$P$18)*(ROW(Daten!$B$2:$B$393)-1),COUNTIF(Daten!$B$2:$B$393,'Material+Limits'!$P$18)+1-ROW(Daten!A7))),"")</f>
        <v/>
      </c>
      <c r="M70" s="16" t="str">
        <f t="array" aca="1" ref="M70" ca="1">IFERROR(INDEX(Daten!$AD$2:$AD$393,LARGE((Daten!$B$2:$B$393='Material+Limits'!$P$18)*(ROW(Daten!$B$2:$B$393)-1),COUNTIF(Daten!$B$2:$B$393,'Material+Limits'!$P$18)+1-ROW(Daten!A7))),"")</f>
        <v/>
      </c>
      <c r="N70" s="2" t="str">
        <f t="array" aca="1" ref="N70" ca="1">IFERROR(INDEX(Daten!$AI$2:$AI$393,LARGE((Daten!$B$2:$B$393='Material+Limits'!$P$18)*(ROW(Daten!$B$2:$B$393)-1),COUNTIF(Daten!$B$2:$B$393,'Material+Limits'!$P$18)+1-ROW(Daten!A7))),"")</f>
        <v/>
      </c>
      <c r="O70" s="20" t="str">
        <f t="array" aca="1" ref="O70" ca="1">IFERROR(INDEX(Daten!$AJ$2:$AJ$393,LARGE((Daten!$B$2:$B$393='Material+Limits'!$P$18)*(ROW(Daten!$B$2:$B$393)-1),COUNTIF(Daten!$B$2:$B$393,'Material+Limits'!$P$18)+1-ROW(Daten!A7))),"")</f>
        <v/>
      </c>
      <c r="P70" t="str">
        <f t="array" aca="1" ref="P70" ca="1">IFERROR(INDEX(Daten!$AM$2:$AM$393,LARGE((Daten!$B$2:$B$393='Material+Limits'!$P$18)*(ROW(Daten!$B$2:$B$393)-1),COUNTIF(Daten!$B$2:$B$393,'Material+Limits'!$P$18)+1-ROW(Daten!A7))),"")</f>
        <v/>
      </c>
      <c r="Q70" t="str">
        <f t="array" aca="1" ref="Q70" ca="1">IFERROR(INDEX(Daten!$AN$2:$AN$393,LARGE((Daten!$B$2:$B$393='Material+Limits'!$P$18)*(ROW(Daten!$B$2:$B$393)-1),COUNTIF(Daten!$B$2:$B$393,'Material+Limits'!$P$18)+1-ROW(Daten!A7))),"")</f>
        <v/>
      </c>
    </row>
    <row r="71" spans="2:17" x14ac:dyDescent="0.25">
      <c r="B71" s="19" t="str">
        <f t="array" aca="1" ref="B71" ca="1">IFERROR(INDEX(Daten!$T$2:$T$393,LARGE((Daten!$B$2:$B$393='Material+Limits'!$P$18)*(ROW(Daten!$B$2:$B$393)-1),COUNTIF(Daten!$B$2:$B$393,'Material+Limits'!$P$18)+1-ROW(Daten!A8))),"")</f>
        <v/>
      </c>
      <c r="C71" s="4"/>
      <c r="D71" s="2" t="str">
        <f t="array" aca="1" ref="D71" ca="1">IFERROR(INDEX(Daten!$AF$2:$AF$393,LARGE((Daten!$B$2:$B$393='Material+Limits'!$P$18)*(ROW(Daten!$B$2:$B$393)-1),COUNTIF(Daten!$B$2:$B$393,'Material+Limits'!$P$18)+1-ROW(Daten!A8))),"")</f>
        <v/>
      </c>
      <c r="E71" s="2" t="str">
        <f t="array" aca="1" ref="E71" ca="1">IFERROR(INDEX(Daten!$AE$2:$AE$393,LARGE((Daten!$B$2:$B$393='Material+Limits'!$P$18)*(ROW(Daten!$B$2:$B$393)-1),COUNTIF(Daten!$B$2:$B$393,'Material+Limits'!$P$18)+1-ROW(Daten!A8))),"")</f>
        <v/>
      </c>
      <c r="F71" s="2" t="str">
        <f t="array" aca="1" ref="F71" ca="1">IFERROR(INDEX(Daten!$AG$2:$AG$393,LARGE((Daten!$B$2:$B$393='Material+Limits'!$P$18)*(ROW(Daten!$B$2:$B$393)-1),COUNTIF(Daten!$B$2:$B$393,'Material+Limits'!$P$18)+1-ROW(Daten!A8))),"")</f>
        <v/>
      </c>
      <c r="G71" s="4"/>
      <c r="H71" s="2" t="str">
        <f t="array" aca="1" ref="H71" ca="1">IFERROR(INDEX(Daten!$AH$2:$AH$393,LARGE((Daten!$B$2:$B$393='Material+Limits'!$P$18)*(ROW(Daten!$B$2:$B$393)-1),COUNTIF(Daten!$B$2:$B$393,'Material+Limits'!$P$18)+1-ROW(Daten!A8))),"")</f>
        <v/>
      </c>
      <c r="I71" s="4"/>
      <c r="J71" s="2" t="str">
        <f t="array" aca="1" ref="J71" ca="1">IFERROR(INDEX(Daten!$Z$2:$Z$393,LARGE((Daten!$B$2:$B$393='Material+Limits'!$P$18)*(ROW(Daten!$B$2:$B$393)-1),COUNTIF(Daten!$B$2:$B$393,'Material+Limits'!$P$18)+1-ROW(Daten!A8))),"")</f>
        <v/>
      </c>
      <c r="K71" s="16" t="str">
        <f t="array" aca="1" ref="K71" ca="1">IFERROR(INDEX(Daten!$AA$2:$AA$393,LARGE((Daten!$B$2:$B$393='Material+Limits'!$P$18)*(ROW(Daten!$B$2:$B$393)-1),COUNTIF(Daten!$B$2:$B$393,'Material+Limits'!$P$18)+1-ROW(Daten!A8))),"")</f>
        <v/>
      </c>
      <c r="L71" s="11" t="str">
        <f t="array" aca="1" ref="L71" ca="1">IFERROR(INDEX(Daten!$AC$2:$AC$393,LARGE((Daten!$B$2:$B$393='Material+Limits'!$P$18)*(ROW(Daten!$B$2:$B$393)-1),COUNTIF(Daten!$B$2:$B$393,'Material+Limits'!$P$18)+1-ROW(Daten!A8))),"")</f>
        <v/>
      </c>
      <c r="M71" s="16" t="str">
        <f t="array" aca="1" ref="M71" ca="1">IFERROR(INDEX(Daten!$AD$2:$AD$393,LARGE((Daten!$B$2:$B$393='Material+Limits'!$P$18)*(ROW(Daten!$B$2:$B$393)-1),COUNTIF(Daten!$B$2:$B$393,'Material+Limits'!$P$18)+1-ROW(Daten!A8))),"")</f>
        <v/>
      </c>
      <c r="N71" s="2" t="str">
        <f t="array" aca="1" ref="N71" ca="1">IFERROR(INDEX(Daten!$AI$2:$AI$393,LARGE((Daten!$B$2:$B$393='Material+Limits'!$P$18)*(ROW(Daten!$B$2:$B$393)-1),COUNTIF(Daten!$B$2:$B$393,'Material+Limits'!$P$18)+1-ROW(Daten!A8))),"")</f>
        <v/>
      </c>
      <c r="O71" s="20" t="str">
        <f t="array" aca="1" ref="O71" ca="1">IFERROR(INDEX(Daten!$AJ$2:$AJ$393,LARGE((Daten!$B$2:$B$393='Material+Limits'!$P$18)*(ROW(Daten!$B$2:$B$393)-1),COUNTIF(Daten!$B$2:$B$393,'Material+Limits'!$P$18)+1-ROW(Daten!A8))),"")</f>
        <v/>
      </c>
      <c r="P71" t="str">
        <f t="array" aca="1" ref="P71" ca="1">IFERROR(INDEX(Daten!$AM$2:$AM$393,LARGE((Daten!$B$2:$B$393='Material+Limits'!$P$18)*(ROW(Daten!$B$2:$B$393)-1),COUNTIF(Daten!$B$2:$B$393,'Material+Limits'!$P$18)+1-ROW(Daten!A8))),"")</f>
        <v/>
      </c>
      <c r="Q71" t="str">
        <f t="array" aca="1" ref="Q71" ca="1">IFERROR(INDEX(Daten!$AN$2:$AN$393,LARGE((Daten!$B$2:$B$393='Material+Limits'!$P$18)*(ROW(Daten!$B$2:$B$393)-1),COUNTIF(Daten!$B$2:$B$393,'Material+Limits'!$P$18)+1-ROW(Daten!A8))),"")</f>
        <v/>
      </c>
    </row>
    <row r="72" spans="2:17" x14ac:dyDescent="0.25">
      <c r="B72" s="19" t="str">
        <f t="array" aca="1" ref="B72" ca="1">IFERROR(INDEX(Daten!$T$2:$T$393,LARGE((Daten!$B$2:$B$393='Material+Limits'!$P$18)*(ROW(Daten!$B$2:$B$393)-1),COUNTIF(Daten!$B$2:$B$393,'Material+Limits'!$P$18)+1-ROW(Daten!A9))),"")</f>
        <v/>
      </c>
      <c r="C72" s="4"/>
      <c r="D72" s="2" t="str">
        <f t="array" aca="1" ref="D72" ca="1">IFERROR(INDEX(Daten!$AF$2:$AF$393,LARGE((Daten!$B$2:$B$393='Material+Limits'!$P$18)*(ROW(Daten!$B$2:$B$393)-1),COUNTIF(Daten!$B$2:$B$393,'Material+Limits'!$P$18)+1-ROW(Daten!A9))),"")</f>
        <v/>
      </c>
      <c r="E72" s="2" t="str">
        <f t="array" aca="1" ref="E72" ca="1">IFERROR(INDEX(Daten!$AE$2:$AE$393,LARGE((Daten!$B$2:$B$393='Material+Limits'!$P$18)*(ROW(Daten!$B$2:$B$393)-1),COUNTIF(Daten!$B$2:$B$393,'Material+Limits'!$P$18)+1-ROW(Daten!A9))),"")</f>
        <v/>
      </c>
      <c r="F72" s="2" t="str">
        <f t="array" aca="1" ref="F72" ca="1">IFERROR(INDEX(Daten!$AG$2:$AG$393,LARGE((Daten!$B$2:$B$393='Material+Limits'!$P$18)*(ROW(Daten!$B$2:$B$393)-1),COUNTIF(Daten!$B$2:$B$393,'Material+Limits'!$P$18)+1-ROW(Daten!A9))),"")</f>
        <v/>
      </c>
      <c r="G72" s="4"/>
      <c r="H72" s="2" t="str">
        <f t="array" aca="1" ref="H72" ca="1">IFERROR(INDEX(Daten!$AH$2:$AH$393,LARGE((Daten!$B$2:$B$393='Material+Limits'!$P$18)*(ROW(Daten!$B$2:$B$393)-1),COUNTIF(Daten!$B$2:$B$393,'Material+Limits'!$P$18)+1-ROW(Daten!A9))),"")</f>
        <v/>
      </c>
      <c r="I72" s="4"/>
      <c r="J72" s="2" t="str">
        <f t="array" aca="1" ref="J72" ca="1">IFERROR(INDEX(Daten!$Z$2:$Z$393,LARGE((Daten!$B$2:$B$393='Material+Limits'!$P$18)*(ROW(Daten!$B$2:$B$393)-1),COUNTIF(Daten!$B$2:$B$393,'Material+Limits'!$P$18)+1-ROW(Daten!A9))),"")</f>
        <v/>
      </c>
      <c r="K72" s="16" t="str">
        <f t="array" aca="1" ref="K72" ca="1">IFERROR(INDEX(Daten!$AA$2:$AA$393,LARGE((Daten!$B$2:$B$393='Material+Limits'!$P$18)*(ROW(Daten!$B$2:$B$393)-1),COUNTIF(Daten!$B$2:$B$393,'Material+Limits'!$P$18)+1-ROW(Daten!A9))),"")</f>
        <v/>
      </c>
      <c r="L72" s="11" t="str">
        <f t="array" aca="1" ref="L72" ca="1">IFERROR(INDEX(Daten!$AC$2:$AC$393,LARGE((Daten!$B$2:$B$393='Material+Limits'!$P$18)*(ROW(Daten!$B$2:$B$393)-1),COUNTIF(Daten!$B$2:$B$393,'Material+Limits'!$P$18)+1-ROW(Daten!A9))),"")</f>
        <v/>
      </c>
      <c r="M72" s="16" t="str">
        <f t="array" aca="1" ref="M72" ca="1">IFERROR(INDEX(Daten!$AD$2:$AD$393,LARGE((Daten!$B$2:$B$393='Material+Limits'!$P$18)*(ROW(Daten!$B$2:$B$393)-1),COUNTIF(Daten!$B$2:$B$393,'Material+Limits'!$P$18)+1-ROW(Daten!A9))),"")</f>
        <v/>
      </c>
      <c r="N72" s="2" t="str">
        <f t="array" aca="1" ref="N72" ca="1">IFERROR(INDEX(Daten!$AI$2:$AI$393,LARGE((Daten!$B$2:$B$393='Material+Limits'!$P$18)*(ROW(Daten!$B$2:$B$393)-1),COUNTIF(Daten!$B$2:$B$393,'Material+Limits'!$P$18)+1-ROW(Daten!A9))),"")</f>
        <v/>
      </c>
      <c r="O72" s="20" t="str">
        <f t="array" aca="1" ref="O72" ca="1">IFERROR(INDEX(Daten!$AJ$2:$AJ$393,LARGE((Daten!$B$2:$B$393='Material+Limits'!$P$18)*(ROW(Daten!$B$2:$B$393)-1),COUNTIF(Daten!$B$2:$B$393,'Material+Limits'!$P$18)+1-ROW(Daten!A9))),"")</f>
        <v/>
      </c>
      <c r="P72" t="str">
        <f t="array" aca="1" ref="P72" ca="1">IFERROR(INDEX(Daten!$AM$2:$AM$393,LARGE((Daten!$B$2:$B$393='Material+Limits'!$P$18)*(ROW(Daten!$B$2:$B$393)-1),COUNTIF(Daten!$B$2:$B$393,'Material+Limits'!$P$18)+1-ROW(Daten!A9))),"")</f>
        <v/>
      </c>
      <c r="Q72" t="str">
        <f t="array" aca="1" ref="Q72" ca="1">IFERROR(INDEX(Daten!$AN$2:$AN$393,LARGE((Daten!$B$2:$B$393='Material+Limits'!$P$18)*(ROW(Daten!$B$2:$B$393)-1),COUNTIF(Daten!$B$2:$B$393,'Material+Limits'!$P$18)+1-ROW(Daten!A9))),"")</f>
        <v/>
      </c>
    </row>
    <row r="73" spans="2:17" x14ac:dyDescent="0.25">
      <c r="B73" s="19" t="str">
        <f t="array" aca="1" ref="B73" ca="1">IFERROR(INDEX(Daten!$T$2:$T$393,LARGE((Daten!$B$2:$B$393='Material+Limits'!$P$18)*(ROW(Daten!$B$2:$B$393)-1),COUNTIF(Daten!$B$2:$B$393,'Material+Limits'!$P$18)+1-ROW(Daten!A10))),"")</f>
        <v/>
      </c>
      <c r="C73" s="4"/>
      <c r="D73" s="2" t="str">
        <f t="array" aca="1" ref="D73" ca="1">IFERROR(INDEX(Daten!$AF$2:$AF$393,LARGE((Daten!$B$2:$B$393='Material+Limits'!$P$18)*(ROW(Daten!$B$2:$B$393)-1),COUNTIF(Daten!$B$2:$B$393,'Material+Limits'!$P$18)+1-ROW(Daten!A10))),"")</f>
        <v/>
      </c>
      <c r="E73" s="2" t="str">
        <f t="array" aca="1" ref="E73" ca="1">IFERROR(INDEX(Daten!$AE$2:$AE$393,LARGE((Daten!$B$2:$B$393='Material+Limits'!$P$18)*(ROW(Daten!$B$2:$B$393)-1),COUNTIF(Daten!$B$2:$B$393,'Material+Limits'!$P$18)+1-ROW(Daten!A10))),"")</f>
        <v/>
      </c>
      <c r="F73" s="2" t="str">
        <f t="array" aca="1" ref="F73" ca="1">IFERROR(INDEX(Daten!$AG$2:$AG$393,LARGE((Daten!$B$2:$B$393='Material+Limits'!$P$18)*(ROW(Daten!$B$2:$B$393)-1),COUNTIF(Daten!$B$2:$B$393,'Material+Limits'!$P$18)+1-ROW(Daten!A10))),"")</f>
        <v/>
      </c>
      <c r="G73" s="4"/>
      <c r="H73" s="2" t="str">
        <f t="array" aca="1" ref="H73" ca="1">IFERROR(INDEX(Daten!$AH$2:$AH$393,LARGE((Daten!$B$2:$B$393='Material+Limits'!$P$18)*(ROW(Daten!$B$2:$B$393)-1),COUNTIF(Daten!$B$2:$B$393,'Material+Limits'!$P$18)+1-ROW(Daten!A10))),"")</f>
        <v/>
      </c>
      <c r="I73" s="4"/>
      <c r="J73" s="2" t="str">
        <f t="array" aca="1" ref="J73" ca="1">IFERROR(INDEX(Daten!$Z$2:$Z$393,LARGE((Daten!$B$2:$B$393='Material+Limits'!$P$18)*(ROW(Daten!$B$2:$B$393)-1),COUNTIF(Daten!$B$2:$B$393,'Material+Limits'!$P$18)+1-ROW(Daten!A10))),"")</f>
        <v/>
      </c>
      <c r="K73" s="16" t="str">
        <f t="array" aca="1" ref="K73" ca="1">IFERROR(INDEX(Daten!$AA$2:$AA$393,LARGE((Daten!$B$2:$B$393='Material+Limits'!$P$18)*(ROW(Daten!$B$2:$B$393)-1),COUNTIF(Daten!$B$2:$B$393,'Material+Limits'!$P$18)+1-ROW(Daten!A10))),"")</f>
        <v/>
      </c>
      <c r="L73" s="11" t="str">
        <f t="array" aca="1" ref="L73" ca="1">IFERROR(INDEX(Daten!$AC$2:$AC$393,LARGE((Daten!$B$2:$B$393='Material+Limits'!$P$18)*(ROW(Daten!$B$2:$B$393)-1),COUNTIF(Daten!$B$2:$B$393,'Material+Limits'!$P$18)+1-ROW(Daten!A10))),"")</f>
        <v/>
      </c>
      <c r="M73" s="16" t="str">
        <f t="array" aca="1" ref="M73" ca="1">IFERROR(INDEX(Daten!$AD$2:$AD$393,LARGE((Daten!$B$2:$B$393='Material+Limits'!$P$18)*(ROW(Daten!$B$2:$B$393)-1),COUNTIF(Daten!$B$2:$B$393,'Material+Limits'!$P$18)+1-ROW(Daten!A10))),"")</f>
        <v/>
      </c>
      <c r="N73" s="2" t="str">
        <f t="array" aca="1" ref="N73" ca="1">IFERROR(INDEX(Daten!$AI$2:$AI$393,LARGE((Daten!$B$2:$B$393='Material+Limits'!$P$18)*(ROW(Daten!$B$2:$B$393)-1),COUNTIF(Daten!$B$2:$B$393,'Material+Limits'!$P$18)+1-ROW(Daten!A10))),"")</f>
        <v/>
      </c>
      <c r="O73" s="20" t="str">
        <f t="array" aca="1" ref="O73" ca="1">IFERROR(INDEX(Daten!$AJ$2:$AJ$393,LARGE((Daten!$B$2:$B$393='Material+Limits'!$P$18)*(ROW(Daten!$B$2:$B$393)-1),COUNTIF(Daten!$B$2:$B$393,'Material+Limits'!$P$18)+1-ROW(Daten!A10))),"")</f>
        <v/>
      </c>
      <c r="P73" t="str">
        <f t="array" aca="1" ref="P73" ca="1">IFERROR(INDEX(Daten!$AM$2:$AM$393,LARGE((Daten!$B$2:$B$393='Material+Limits'!$P$18)*(ROW(Daten!$B$2:$B$393)-1),COUNTIF(Daten!$B$2:$B$393,'Material+Limits'!$P$18)+1-ROW(Daten!A10))),"")</f>
        <v/>
      </c>
      <c r="Q73" t="str">
        <f t="array" aca="1" ref="Q73" ca="1">IFERROR(INDEX(Daten!$AN$2:$AN$393,LARGE((Daten!$B$2:$B$393='Material+Limits'!$P$18)*(ROW(Daten!$B$2:$B$393)-1),COUNTIF(Daten!$B$2:$B$393,'Material+Limits'!$P$18)+1-ROW(Daten!A10))),"")</f>
        <v/>
      </c>
    </row>
    <row r="74" spans="2:17" x14ac:dyDescent="0.25">
      <c r="B74" s="19" t="str">
        <f t="array" aca="1" ref="B74" ca="1">IFERROR(INDEX(Daten!$T$2:$T$393,LARGE((Daten!$B$2:$B$393='Material+Limits'!$P$18)*(ROW(Daten!$B$2:$B$393)-1),COUNTIF(Daten!$B$2:$B$393,'Material+Limits'!$P$18)+1-ROW(Daten!A11))),"")</f>
        <v/>
      </c>
      <c r="C74" s="4"/>
      <c r="D74" s="2" t="str">
        <f t="array" aca="1" ref="D74" ca="1">IFERROR(INDEX(Daten!$AF$2:$AF$393,LARGE((Daten!$B$2:$B$393='Material+Limits'!$P$18)*(ROW(Daten!$B$2:$B$393)-1),COUNTIF(Daten!$B$2:$B$393,'Material+Limits'!$P$18)+1-ROW(Daten!A11))),"")</f>
        <v/>
      </c>
      <c r="E74" s="2" t="str">
        <f t="array" aca="1" ref="E74" ca="1">IFERROR(INDEX(Daten!$AE$2:$AE$393,LARGE((Daten!$B$2:$B$393='Material+Limits'!$P$18)*(ROW(Daten!$B$2:$B$393)-1),COUNTIF(Daten!$B$2:$B$393,'Material+Limits'!$P$18)+1-ROW(Daten!A11))),"")</f>
        <v/>
      </c>
      <c r="F74" s="2" t="str">
        <f t="array" aca="1" ref="F74" ca="1">IFERROR(INDEX(Daten!$AG$2:$AG$393,LARGE((Daten!$B$2:$B$393='Material+Limits'!$P$18)*(ROW(Daten!$B$2:$B$393)-1),COUNTIF(Daten!$B$2:$B$393,'Material+Limits'!$P$18)+1-ROW(Daten!A11))),"")</f>
        <v/>
      </c>
      <c r="G74" s="4"/>
      <c r="H74" s="2" t="str">
        <f t="array" aca="1" ref="H74" ca="1">IFERROR(INDEX(Daten!$AH$2:$AH$393,LARGE((Daten!$B$2:$B$393='Material+Limits'!$P$18)*(ROW(Daten!$B$2:$B$393)-1),COUNTIF(Daten!$B$2:$B$393,'Material+Limits'!$P$18)+1-ROW(Daten!A11))),"")</f>
        <v/>
      </c>
      <c r="I74" s="4"/>
      <c r="J74" s="2" t="str">
        <f t="array" aca="1" ref="J74" ca="1">IFERROR(INDEX(Daten!$Z$2:$Z$393,LARGE((Daten!$B$2:$B$393='Material+Limits'!$P$18)*(ROW(Daten!$B$2:$B$393)-1),COUNTIF(Daten!$B$2:$B$393,'Material+Limits'!$P$18)+1-ROW(Daten!A11))),"")</f>
        <v/>
      </c>
      <c r="K74" s="16" t="str">
        <f t="array" aca="1" ref="K74" ca="1">IFERROR(INDEX(Daten!$AA$2:$AA$393,LARGE((Daten!$B$2:$B$393='Material+Limits'!$P$18)*(ROW(Daten!$B$2:$B$393)-1),COUNTIF(Daten!$B$2:$B$393,'Material+Limits'!$P$18)+1-ROW(Daten!A11))),"")</f>
        <v/>
      </c>
      <c r="L74" s="11" t="str">
        <f t="array" aca="1" ref="L74" ca="1">IFERROR(INDEX(Daten!$AC$2:$AC$393,LARGE((Daten!$B$2:$B$393='Material+Limits'!$P$18)*(ROW(Daten!$B$2:$B$393)-1),COUNTIF(Daten!$B$2:$B$393,'Material+Limits'!$P$18)+1-ROW(Daten!A11))),"")</f>
        <v/>
      </c>
      <c r="M74" s="16" t="str">
        <f t="array" aca="1" ref="M74" ca="1">IFERROR(INDEX(Daten!$AD$2:$AD$393,LARGE((Daten!$B$2:$B$393='Material+Limits'!$P$18)*(ROW(Daten!$B$2:$B$393)-1),COUNTIF(Daten!$B$2:$B$393,'Material+Limits'!$P$18)+1-ROW(Daten!A11))),"")</f>
        <v/>
      </c>
      <c r="N74" s="2" t="str">
        <f t="array" aca="1" ref="N74" ca="1">IFERROR(INDEX(Daten!$AI$2:$AI$393,LARGE((Daten!$B$2:$B$393='Material+Limits'!$P$18)*(ROW(Daten!$B$2:$B$393)-1),COUNTIF(Daten!$B$2:$B$393,'Material+Limits'!$P$18)+1-ROW(Daten!A11))),"")</f>
        <v/>
      </c>
      <c r="O74" s="20" t="str">
        <f t="array" aca="1" ref="O74" ca="1">IFERROR(INDEX(Daten!$AJ$2:$AJ$393,LARGE((Daten!$B$2:$B$393='Material+Limits'!$P$18)*(ROW(Daten!$B$2:$B$393)-1),COUNTIF(Daten!$B$2:$B$393,'Material+Limits'!$P$18)+1-ROW(Daten!A11))),"")</f>
        <v/>
      </c>
      <c r="P74" t="str">
        <f t="array" aca="1" ref="P74" ca="1">IFERROR(INDEX(Daten!$AM$2:$AM$393,LARGE((Daten!$B$2:$B$393='Material+Limits'!$P$18)*(ROW(Daten!$B$2:$B$393)-1),COUNTIF(Daten!$B$2:$B$393,'Material+Limits'!$P$18)+1-ROW(Daten!A11))),"")</f>
        <v/>
      </c>
      <c r="Q74" t="str">
        <f t="array" aca="1" ref="Q74" ca="1">IFERROR(INDEX(Daten!$AN$2:$AN$393,LARGE((Daten!$B$2:$B$393='Material+Limits'!$P$18)*(ROW(Daten!$B$2:$B$393)-1),COUNTIF(Daten!$B$2:$B$393,'Material+Limits'!$P$18)+1-ROW(Daten!A11))),"")</f>
        <v/>
      </c>
    </row>
    <row r="75" spans="2:17" x14ac:dyDescent="0.25">
      <c r="B75" s="19" t="str">
        <f t="array" aca="1" ref="B75" ca="1">IFERROR(INDEX(Daten!$T$2:$T$393,LARGE((Daten!$B$2:$B$393='Material+Limits'!$P$18)*(ROW(Daten!$B$2:$B$393)-1),COUNTIF(Daten!$B$2:$B$393,'Material+Limits'!$P$18)+1-ROW(Daten!A12))),"")</f>
        <v/>
      </c>
      <c r="C75" s="4"/>
      <c r="D75" s="2" t="str">
        <f t="array" aca="1" ref="D75" ca="1">IFERROR(INDEX(Daten!$AF$2:$AF$393,LARGE((Daten!$B$2:$B$393='Material+Limits'!$P$18)*(ROW(Daten!$B$2:$B$393)-1),COUNTIF(Daten!$B$2:$B$393,'Material+Limits'!$P$18)+1-ROW(Daten!A12))),"")</f>
        <v/>
      </c>
      <c r="E75" s="2" t="str">
        <f t="array" aca="1" ref="E75" ca="1">IFERROR(INDEX(Daten!$AE$2:$AE$393,LARGE((Daten!$B$2:$B$393='Material+Limits'!$P$18)*(ROW(Daten!$B$2:$B$393)-1),COUNTIF(Daten!$B$2:$B$393,'Material+Limits'!$P$18)+1-ROW(Daten!A12))),"")</f>
        <v/>
      </c>
      <c r="F75" s="2" t="str">
        <f t="array" aca="1" ref="F75" ca="1">IFERROR(INDEX(Daten!$AG$2:$AG$393,LARGE((Daten!$B$2:$B$393='Material+Limits'!$P$18)*(ROW(Daten!$B$2:$B$393)-1),COUNTIF(Daten!$B$2:$B$393,'Material+Limits'!$P$18)+1-ROW(Daten!A12))),"")</f>
        <v/>
      </c>
      <c r="G75" s="4"/>
      <c r="H75" s="2" t="str">
        <f t="array" aca="1" ref="H75" ca="1">IFERROR(INDEX(Daten!$AH$2:$AH$393,LARGE((Daten!$B$2:$B$393='Material+Limits'!$P$18)*(ROW(Daten!$B$2:$B$393)-1),COUNTIF(Daten!$B$2:$B$393,'Material+Limits'!$P$18)+1-ROW(Daten!A12))),"")</f>
        <v/>
      </c>
      <c r="I75" s="4"/>
      <c r="J75" s="2" t="str">
        <f t="array" aca="1" ref="J75" ca="1">IFERROR(INDEX(Daten!$Z$2:$Z$393,LARGE((Daten!$B$2:$B$393='Material+Limits'!$P$18)*(ROW(Daten!$B$2:$B$393)-1),COUNTIF(Daten!$B$2:$B$393,'Material+Limits'!$P$18)+1-ROW(Daten!A12))),"")</f>
        <v/>
      </c>
      <c r="K75" s="16" t="str">
        <f t="array" aca="1" ref="K75" ca="1">IFERROR(INDEX(Daten!$AA$2:$AA$393,LARGE((Daten!$B$2:$B$393='Material+Limits'!$P$18)*(ROW(Daten!$B$2:$B$393)-1),COUNTIF(Daten!$B$2:$B$393,'Material+Limits'!$P$18)+1-ROW(Daten!A12))),"")</f>
        <v/>
      </c>
      <c r="L75" s="11" t="str">
        <f t="array" aca="1" ref="L75" ca="1">IFERROR(INDEX(Daten!$AC$2:$AC$393,LARGE((Daten!$B$2:$B$393='Material+Limits'!$P$18)*(ROW(Daten!$B$2:$B$393)-1),COUNTIF(Daten!$B$2:$B$393,'Material+Limits'!$P$18)+1-ROW(Daten!A12))),"")</f>
        <v/>
      </c>
      <c r="M75" s="16" t="str">
        <f t="array" aca="1" ref="M75" ca="1">IFERROR(INDEX(Daten!$AD$2:$AD$393,LARGE((Daten!$B$2:$B$393='Material+Limits'!$P$18)*(ROW(Daten!$B$2:$B$393)-1),COUNTIF(Daten!$B$2:$B$393,'Material+Limits'!$P$18)+1-ROW(Daten!A12))),"")</f>
        <v/>
      </c>
      <c r="N75" s="2" t="str">
        <f t="array" aca="1" ref="N75" ca="1">IFERROR(INDEX(Daten!$AI$2:$AI$393,LARGE((Daten!$B$2:$B$393='Material+Limits'!$P$18)*(ROW(Daten!$B$2:$B$393)-1),COUNTIF(Daten!$B$2:$B$393,'Material+Limits'!$P$18)+1-ROW(Daten!A12))),"")</f>
        <v/>
      </c>
      <c r="O75" s="20" t="str">
        <f t="array" aca="1" ref="O75" ca="1">IFERROR(INDEX(Daten!$AJ$2:$AJ$393,LARGE((Daten!$B$2:$B$393='Material+Limits'!$P$18)*(ROW(Daten!$B$2:$B$393)-1),COUNTIF(Daten!$B$2:$B$393,'Material+Limits'!$P$18)+1-ROW(Daten!A12))),"")</f>
        <v/>
      </c>
      <c r="P75" t="str">
        <f t="array" aca="1" ref="P75" ca="1">IFERROR(INDEX(Daten!$AM$2:$AM$393,LARGE((Daten!$B$2:$B$393='Material+Limits'!$P$18)*(ROW(Daten!$B$2:$B$393)-1),COUNTIF(Daten!$B$2:$B$393,'Material+Limits'!$P$18)+1-ROW(Daten!A12))),"")</f>
        <v/>
      </c>
      <c r="Q75" t="str">
        <f t="array" aca="1" ref="Q75" ca="1">IFERROR(INDEX(Daten!$AN$2:$AN$393,LARGE((Daten!$B$2:$B$393='Material+Limits'!$P$18)*(ROW(Daten!$B$2:$B$393)-1),COUNTIF(Daten!$B$2:$B$393,'Material+Limits'!$P$18)+1-ROW(Daten!A12))),"")</f>
        <v/>
      </c>
    </row>
    <row r="76" spans="2:17" x14ac:dyDescent="0.25">
      <c r="B76" s="19" t="str">
        <f t="array" aca="1" ref="B76" ca="1">IFERROR(INDEX(Daten!$T$2:$T$393,LARGE((Daten!$B$2:$B$393='Material+Limits'!$P$18)*(ROW(Daten!$B$2:$B$393)-1),COUNTIF(Daten!$B$2:$B$393,'Material+Limits'!$P$18)+1-ROW(Daten!A13))),"")</f>
        <v/>
      </c>
      <c r="C76" s="4"/>
      <c r="D76" s="2" t="str">
        <f t="array" aca="1" ref="D76" ca="1">IFERROR(INDEX(Daten!$AF$2:$AF$393,LARGE((Daten!$B$2:$B$393='Material+Limits'!$P$18)*(ROW(Daten!$B$2:$B$393)-1),COUNTIF(Daten!$B$2:$B$393,'Material+Limits'!$P$18)+1-ROW(Daten!A13))),"")</f>
        <v/>
      </c>
      <c r="E76" s="2" t="str">
        <f t="array" aca="1" ref="E76" ca="1">IFERROR(INDEX(Daten!$AE$2:$AE$393,LARGE((Daten!$B$2:$B$393='Material+Limits'!$P$18)*(ROW(Daten!$B$2:$B$393)-1),COUNTIF(Daten!$B$2:$B$393,'Material+Limits'!$P$18)+1-ROW(Daten!A13))),"")</f>
        <v/>
      </c>
      <c r="F76" s="2" t="str">
        <f t="array" aca="1" ref="F76" ca="1">IFERROR(INDEX(Daten!$AG$2:$AG$393,LARGE((Daten!$B$2:$B$393='Material+Limits'!$P$18)*(ROW(Daten!$B$2:$B$393)-1),COUNTIF(Daten!$B$2:$B$393,'Material+Limits'!$P$18)+1-ROW(Daten!A13))),"")</f>
        <v/>
      </c>
      <c r="G76" s="4"/>
      <c r="H76" s="2" t="str">
        <f t="array" aca="1" ref="H76" ca="1">IFERROR(INDEX(Daten!$AH$2:$AH$393,LARGE((Daten!$B$2:$B$393='Material+Limits'!$P$18)*(ROW(Daten!$B$2:$B$393)-1),COUNTIF(Daten!$B$2:$B$393,'Material+Limits'!$P$18)+1-ROW(Daten!A13))),"")</f>
        <v/>
      </c>
      <c r="I76" s="4"/>
      <c r="J76" s="2" t="str">
        <f t="array" aca="1" ref="J76" ca="1">IFERROR(INDEX(Daten!$Z$2:$Z$393,LARGE((Daten!$B$2:$B$393='Material+Limits'!$P$18)*(ROW(Daten!$B$2:$B$393)-1),COUNTIF(Daten!$B$2:$B$393,'Material+Limits'!$P$18)+1-ROW(Daten!A13))),"")</f>
        <v/>
      </c>
      <c r="K76" s="16" t="str">
        <f t="array" aca="1" ref="K76" ca="1">IFERROR(INDEX(Daten!$AA$2:$AA$393,LARGE((Daten!$B$2:$B$393='Material+Limits'!$P$18)*(ROW(Daten!$B$2:$B$393)-1),COUNTIF(Daten!$B$2:$B$393,'Material+Limits'!$P$18)+1-ROW(Daten!A13))),"")</f>
        <v/>
      </c>
      <c r="L76" s="11" t="str">
        <f t="array" aca="1" ref="L76" ca="1">IFERROR(INDEX(Daten!$AC$2:$AC$393,LARGE((Daten!$B$2:$B$393='Material+Limits'!$P$18)*(ROW(Daten!$B$2:$B$393)-1),COUNTIF(Daten!$B$2:$B$393,'Material+Limits'!$P$18)+1-ROW(Daten!A13))),"")</f>
        <v/>
      </c>
      <c r="M76" s="16" t="str">
        <f t="array" aca="1" ref="M76" ca="1">IFERROR(INDEX(Daten!$AD$2:$AD$393,LARGE((Daten!$B$2:$B$393='Material+Limits'!$P$18)*(ROW(Daten!$B$2:$B$393)-1),COUNTIF(Daten!$B$2:$B$393,'Material+Limits'!$P$18)+1-ROW(Daten!A13))),"")</f>
        <v/>
      </c>
      <c r="N76" s="2" t="str">
        <f t="array" aca="1" ref="N76" ca="1">IFERROR(INDEX(Daten!$AI$2:$AI$393,LARGE((Daten!$B$2:$B$393='Material+Limits'!$P$18)*(ROW(Daten!$B$2:$B$393)-1),COUNTIF(Daten!$B$2:$B$393,'Material+Limits'!$P$18)+1-ROW(Daten!A13))),"")</f>
        <v/>
      </c>
      <c r="O76" s="20" t="str">
        <f t="array" aca="1" ref="O76" ca="1">IFERROR(INDEX(Daten!$AJ$2:$AJ$393,LARGE((Daten!$B$2:$B$393='Material+Limits'!$P$18)*(ROW(Daten!$B$2:$B$393)-1),COUNTIF(Daten!$B$2:$B$393,'Material+Limits'!$P$18)+1-ROW(Daten!A13))),"")</f>
        <v/>
      </c>
      <c r="P76" t="str">
        <f t="array" aca="1" ref="P76" ca="1">IFERROR(INDEX(Daten!$AM$2:$AM$393,LARGE((Daten!$B$2:$B$393='Material+Limits'!$P$18)*(ROW(Daten!$B$2:$B$393)-1),COUNTIF(Daten!$B$2:$B$393,'Material+Limits'!$P$18)+1-ROW(Daten!A13))),"")</f>
        <v/>
      </c>
      <c r="Q76" t="str">
        <f t="array" aca="1" ref="Q76" ca="1">IFERROR(INDEX(Daten!$AN$2:$AN$393,LARGE((Daten!$B$2:$B$393='Material+Limits'!$P$18)*(ROW(Daten!$B$2:$B$393)-1),COUNTIF(Daten!$B$2:$B$393,'Material+Limits'!$P$18)+1-ROW(Daten!A13))),"")</f>
        <v/>
      </c>
    </row>
    <row r="77" spans="2:17" x14ac:dyDescent="0.25">
      <c r="B77" s="19" t="str">
        <f t="array" aca="1" ref="B77" ca="1">IFERROR(INDEX(Daten!$T$2:$T$393,LARGE((Daten!$B$2:$B$393='Material+Limits'!$P$18)*(ROW(Daten!$B$2:$B$393)-1),COUNTIF(Daten!$B$2:$B$393,'Material+Limits'!$P$18)+1-ROW(Daten!A14))),"")</f>
        <v/>
      </c>
      <c r="C77" s="4"/>
      <c r="D77" s="2" t="str">
        <f t="array" aca="1" ref="D77" ca="1">IFERROR(INDEX(Daten!$AF$2:$AF$393,LARGE((Daten!$B$2:$B$393='Material+Limits'!$P$18)*(ROW(Daten!$B$2:$B$393)-1),COUNTIF(Daten!$B$2:$B$393,'Material+Limits'!$P$18)+1-ROW(Daten!A14))),"")</f>
        <v/>
      </c>
      <c r="E77" s="2" t="str">
        <f t="array" aca="1" ref="E77" ca="1">IFERROR(INDEX(Daten!$AE$2:$AE$393,LARGE((Daten!$B$2:$B$393='Material+Limits'!$P$18)*(ROW(Daten!$B$2:$B$393)-1),COUNTIF(Daten!$B$2:$B$393,'Material+Limits'!$P$18)+1-ROW(Daten!A14))),"")</f>
        <v/>
      </c>
      <c r="F77" s="2" t="str">
        <f t="array" aca="1" ref="F77" ca="1">IFERROR(INDEX(Daten!$AG$2:$AG$393,LARGE((Daten!$B$2:$B$393='Material+Limits'!$P$18)*(ROW(Daten!$B$2:$B$393)-1),COUNTIF(Daten!$B$2:$B$393,'Material+Limits'!$P$18)+1-ROW(Daten!A14))),"")</f>
        <v/>
      </c>
      <c r="G77" s="4"/>
      <c r="H77" s="2" t="str">
        <f t="array" aca="1" ref="H77" ca="1">IFERROR(INDEX(Daten!$AH$2:$AH$393,LARGE((Daten!$B$2:$B$393='Material+Limits'!$P$18)*(ROW(Daten!$B$2:$B$393)-1),COUNTIF(Daten!$B$2:$B$393,'Material+Limits'!$P$18)+1-ROW(Daten!A14))),"")</f>
        <v/>
      </c>
      <c r="I77" s="4"/>
      <c r="J77" s="2" t="str">
        <f t="array" aca="1" ref="J77" ca="1">IFERROR(INDEX(Daten!$Z$2:$Z$393,LARGE((Daten!$B$2:$B$393='Material+Limits'!$P$18)*(ROW(Daten!$B$2:$B$393)-1),COUNTIF(Daten!$B$2:$B$393,'Material+Limits'!$P$18)+1-ROW(Daten!A14))),"")</f>
        <v/>
      </c>
      <c r="K77" s="16" t="str">
        <f t="array" aca="1" ref="K77" ca="1">IFERROR(INDEX(Daten!$AA$2:$AA$393,LARGE((Daten!$B$2:$B$393='Material+Limits'!$P$18)*(ROW(Daten!$B$2:$B$393)-1),COUNTIF(Daten!$B$2:$B$393,'Material+Limits'!$P$18)+1-ROW(Daten!A14))),"")</f>
        <v/>
      </c>
      <c r="L77" s="11" t="str">
        <f t="array" aca="1" ref="L77" ca="1">IFERROR(INDEX(Daten!$AC$2:$AC$393,LARGE((Daten!$B$2:$B$393='Material+Limits'!$P$18)*(ROW(Daten!$B$2:$B$393)-1),COUNTIF(Daten!$B$2:$B$393,'Material+Limits'!$P$18)+1-ROW(Daten!A14))),"")</f>
        <v/>
      </c>
      <c r="M77" s="16" t="str">
        <f t="array" aca="1" ref="M77" ca="1">IFERROR(INDEX(Daten!$AD$2:$AD$393,LARGE((Daten!$B$2:$B$393='Material+Limits'!$P$18)*(ROW(Daten!$B$2:$B$393)-1),COUNTIF(Daten!$B$2:$B$393,'Material+Limits'!$P$18)+1-ROW(Daten!A14))),"")</f>
        <v/>
      </c>
      <c r="N77" s="2" t="str">
        <f t="array" aca="1" ref="N77" ca="1">IFERROR(INDEX(Daten!$AI$2:$AI$393,LARGE((Daten!$B$2:$B$393='Material+Limits'!$P$18)*(ROW(Daten!$B$2:$B$393)-1),COUNTIF(Daten!$B$2:$B$393,'Material+Limits'!$P$18)+1-ROW(Daten!A14))),"")</f>
        <v/>
      </c>
      <c r="O77" s="20" t="str">
        <f t="array" aca="1" ref="O77" ca="1">IFERROR(INDEX(Daten!$AJ$2:$AJ$393,LARGE((Daten!$B$2:$B$393='Material+Limits'!$P$18)*(ROW(Daten!$B$2:$B$393)-1),COUNTIF(Daten!$B$2:$B$393,'Material+Limits'!$P$18)+1-ROW(Daten!A14))),"")</f>
        <v/>
      </c>
      <c r="P77" t="str">
        <f t="array" aca="1" ref="P77" ca="1">IFERROR(INDEX(Daten!$AM$2:$AM$393,LARGE((Daten!$B$2:$B$393='Material+Limits'!$P$18)*(ROW(Daten!$B$2:$B$393)-1),COUNTIF(Daten!$B$2:$B$393,'Material+Limits'!$P$18)+1-ROW(Daten!A14))),"")</f>
        <v/>
      </c>
      <c r="Q77" t="str">
        <f t="array" aca="1" ref="Q77" ca="1">IFERROR(INDEX(Daten!$AN$2:$AN$393,LARGE((Daten!$B$2:$B$393='Material+Limits'!$P$18)*(ROW(Daten!$B$2:$B$393)-1),COUNTIF(Daten!$B$2:$B$393,'Material+Limits'!$P$18)+1-ROW(Daten!A14))),"")</f>
        <v/>
      </c>
    </row>
    <row r="78" spans="2:17" x14ac:dyDescent="0.25">
      <c r="B78" s="19" t="str">
        <f t="array" aca="1" ref="B78" ca="1">IFERROR(INDEX(Daten!$T$2:$T$393,LARGE((Daten!$B$2:$B$393='Material+Limits'!$P$18)*(ROW(Daten!$B$2:$B$393)-1),COUNTIF(Daten!$B$2:$B$393,'Material+Limits'!$P$18)+1-ROW(Daten!A15))),"")</f>
        <v/>
      </c>
      <c r="C78" s="4"/>
      <c r="D78" s="2" t="str">
        <f t="array" aca="1" ref="D78" ca="1">IFERROR(INDEX(Daten!$AF$2:$AF$393,LARGE((Daten!$B$2:$B$393='Material+Limits'!$P$18)*(ROW(Daten!$B$2:$B$393)-1),COUNTIF(Daten!$B$2:$B$393,'Material+Limits'!$P$18)+1-ROW(Daten!A15))),"")</f>
        <v/>
      </c>
      <c r="E78" s="2" t="str">
        <f t="array" aca="1" ref="E78" ca="1">IFERROR(INDEX(Daten!$AE$2:$AE$393,LARGE((Daten!$B$2:$B$393='Material+Limits'!$P$18)*(ROW(Daten!$B$2:$B$393)-1),COUNTIF(Daten!$B$2:$B$393,'Material+Limits'!$P$18)+1-ROW(Daten!A15))),"")</f>
        <v/>
      </c>
      <c r="F78" s="2" t="str">
        <f t="array" aca="1" ref="F78" ca="1">IFERROR(INDEX(Daten!$AG$2:$AG$393,LARGE((Daten!$B$2:$B$393='Material+Limits'!$P$18)*(ROW(Daten!$B$2:$B$393)-1),COUNTIF(Daten!$B$2:$B$393,'Material+Limits'!$P$18)+1-ROW(Daten!A15))),"")</f>
        <v/>
      </c>
      <c r="G78" s="4"/>
      <c r="H78" s="2" t="str">
        <f t="array" aca="1" ref="H78" ca="1">IFERROR(INDEX(Daten!$AH$2:$AH$393,LARGE((Daten!$B$2:$B$393='Material+Limits'!$P$18)*(ROW(Daten!$B$2:$B$393)-1),COUNTIF(Daten!$B$2:$B$393,'Material+Limits'!$P$18)+1-ROW(Daten!A15))),"")</f>
        <v/>
      </c>
      <c r="I78" s="4"/>
      <c r="J78" s="2" t="str">
        <f t="array" aca="1" ref="J78" ca="1">IFERROR(INDEX(Daten!$Z$2:$Z$393,LARGE((Daten!$B$2:$B$393='Material+Limits'!$P$18)*(ROW(Daten!$B$2:$B$393)-1),COUNTIF(Daten!$B$2:$B$393,'Material+Limits'!$P$18)+1-ROW(Daten!A15))),"")</f>
        <v/>
      </c>
      <c r="K78" s="16" t="str">
        <f t="array" aca="1" ref="K78" ca="1">IFERROR(INDEX(Daten!$AA$2:$AA$393,LARGE((Daten!$B$2:$B$393='Material+Limits'!$P$18)*(ROW(Daten!$B$2:$B$393)-1),COUNTIF(Daten!$B$2:$B$393,'Material+Limits'!$P$18)+1-ROW(Daten!A15))),"")</f>
        <v/>
      </c>
      <c r="L78" s="11" t="str">
        <f t="array" aca="1" ref="L78" ca="1">IFERROR(INDEX(Daten!$AC$2:$AC$393,LARGE((Daten!$B$2:$B$393='Material+Limits'!$P$18)*(ROW(Daten!$B$2:$B$393)-1),COUNTIF(Daten!$B$2:$B$393,'Material+Limits'!$P$18)+1-ROW(Daten!A15))),"")</f>
        <v/>
      </c>
      <c r="M78" s="16" t="str">
        <f t="array" aca="1" ref="M78" ca="1">IFERROR(INDEX(Daten!$AD$2:$AD$393,LARGE((Daten!$B$2:$B$393='Material+Limits'!$P$18)*(ROW(Daten!$B$2:$B$393)-1),COUNTIF(Daten!$B$2:$B$393,'Material+Limits'!$P$18)+1-ROW(Daten!A15))),"")</f>
        <v/>
      </c>
      <c r="N78" s="2" t="str">
        <f t="array" aca="1" ref="N78" ca="1">IFERROR(INDEX(Daten!$AI$2:$AI$393,LARGE((Daten!$B$2:$B$393='Material+Limits'!$P$18)*(ROW(Daten!$B$2:$B$393)-1),COUNTIF(Daten!$B$2:$B$393,'Material+Limits'!$P$18)+1-ROW(Daten!A15))),"")</f>
        <v/>
      </c>
      <c r="O78" s="20" t="str">
        <f t="array" aca="1" ref="O78" ca="1">IFERROR(INDEX(Daten!$AJ$2:$AJ$393,LARGE((Daten!$B$2:$B$393='Material+Limits'!$P$18)*(ROW(Daten!$B$2:$B$393)-1),COUNTIF(Daten!$B$2:$B$393,'Material+Limits'!$P$18)+1-ROW(Daten!A15))),"")</f>
        <v/>
      </c>
      <c r="P78" t="str">
        <f t="array" aca="1" ref="P78" ca="1">IFERROR(INDEX(Daten!$AM$2:$AM$393,LARGE((Daten!$B$2:$B$393='Material+Limits'!$P$18)*(ROW(Daten!$B$2:$B$393)-1),COUNTIF(Daten!$B$2:$B$393,'Material+Limits'!$P$18)+1-ROW(Daten!A15))),"")</f>
        <v/>
      </c>
      <c r="Q78" t="str">
        <f t="array" aca="1" ref="Q78" ca="1">IFERROR(INDEX(Daten!$AN$2:$AN$393,LARGE((Daten!$B$2:$B$393='Material+Limits'!$P$18)*(ROW(Daten!$B$2:$B$393)-1),COUNTIF(Daten!$B$2:$B$393,'Material+Limits'!$P$18)+1-ROW(Daten!A15))),"")</f>
        <v/>
      </c>
    </row>
    <row r="79" spans="2:17" x14ac:dyDescent="0.25">
      <c r="B79" s="19" t="str">
        <f t="array" aca="1" ref="B79" ca="1">IFERROR(INDEX(Daten!$T$2:$T$393,LARGE((Daten!$B$2:$B$393='Material+Limits'!$P$18)*(ROW(Daten!$B$2:$B$393)-1),COUNTIF(Daten!$B$2:$B$393,'Material+Limits'!$P$18)+1-ROW(Daten!A16))),"")</f>
        <v/>
      </c>
      <c r="C79" s="4"/>
      <c r="D79" s="2" t="str">
        <f t="array" aca="1" ref="D79" ca="1">IFERROR(INDEX(Daten!$AF$2:$AF$393,LARGE((Daten!$B$2:$B$393='Material+Limits'!$P$18)*(ROW(Daten!$B$2:$B$393)-1),COUNTIF(Daten!$B$2:$B$393,'Material+Limits'!$P$18)+1-ROW(Daten!A16))),"")</f>
        <v/>
      </c>
      <c r="E79" s="2" t="str">
        <f t="array" aca="1" ref="E79" ca="1">IFERROR(INDEX(Daten!$AE$2:$AE$393,LARGE((Daten!$B$2:$B$393='Material+Limits'!$P$18)*(ROW(Daten!$B$2:$B$393)-1),COUNTIF(Daten!$B$2:$B$393,'Material+Limits'!$P$18)+1-ROW(Daten!A16))),"")</f>
        <v/>
      </c>
      <c r="F79" s="2" t="str">
        <f t="array" aca="1" ref="F79" ca="1">IFERROR(INDEX(Daten!$AG$2:$AG$393,LARGE((Daten!$B$2:$B$393='Material+Limits'!$P$18)*(ROW(Daten!$B$2:$B$393)-1),COUNTIF(Daten!$B$2:$B$393,'Material+Limits'!$P$18)+1-ROW(Daten!A16))),"")</f>
        <v/>
      </c>
      <c r="G79" s="4"/>
      <c r="H79" s="2" t="str">
        <f t="array" aca="1" ref="H79" ca="1">IFERROR(INDEX(Daten!$AH$2:$AH$393,LARGE((Daten!$B$2:$B$393='Material+Limits'!$P$18)*(ROW(Daten!$B$2:$B$393)-1),COUNTIF(Daten!$B$2:$B$393,'Material+Limits'!$P$18)+1-ROW(Daten!A16))),"")</f>
        <v/>
      </c>
      <c r="I79" s="4"/>
      <c r="J79" s="2" t="str">
        <f t="array" aca="1" ref="J79" ca="1">IFERROR(INDEX(Daten!$Z$2:$Z$393,LARGE((Daten!$B$2:$B$393='Material+Limits'!$P$18)*(ROW(Daten!$B$2:$B$393)-1),COUNTIF(Daten!$B$2:$B$393,'Material+Limits'!$P$18)+1-ROW(Daten!A16))),"")</f>
        <v/>
      </c>
      <c r="K79" s="16" t="str">
        <f t="array" aca="1" ref="K79" ca="1">IFERROR(INDEX(Daten!$AA$2:$AA$393,LARGE((Daten!$B$2:$B$393='Material+Limits'!$P$18)*(ROW(Daten!$B$2:$B$393)-1),COUNTIF(Daten!$B$2:$B$393,'Material+Limits'!$P$18)+1-ROW(Daten!A16))),"")</f>
        <v/>
      </c>
      <c r="L79" s="11" t="str">
        <f t="array" aca="1" ref="L79" ca="1">IFERROR(INDEX(Daten!$AC$2:$AC$393,LARGE((Daten!$B$2:$B$393='Material+Limits'!$P$18)*(ROW(Daten!$B$2:$B$393)-1),COUNTIF(Daten!$B$2:$B$393,'Material+Limits'!$P$18)+1-ROW(Daten!A16))),"")</f>
        <v/>
      </c>
      <c r="M79" s="16" t="str">
        <f t="array" aca="1" ref="M79" ca="1">IFERROR(INDEX(Daten!$AD$2:$AD$393,LARGE((Daten!$B$2:$B$393='Material+Limits'!$P$18)*(ROW(Daten!$B$2:$B$393)-1),COUNTIF(Daten!$B$2:$B$393,'Material+Limits'!$P$18)+1-ROW(Daten!A16))),"")</f>
        <v/>
      </c>
      <c r="N79" s="2" t="str">
        <f t="array" aca="1" ref="N79" ca="1">IFERROR(INDEX(Daten!$AI$2:$AI$393,LARGE((Daten!$B$2:$B$393='Material+Limits'!$P$18)*(ROW(Daten!$B$2:$B$393)-1),COUNTIF(Daten!$B$2:$B$393,'Material+Limits'!$P$18)+1-ROW(Daten!A16))),"")</f>
        <v/>
      </c>
      <c r="O79" s="20" t="str">
        <f t="array" aca="1" ref="O79" ca="1">IFERROR(INDEX(Daten!$AJ$2:$AJ$393,LARGE((Daten!$B$2:$B$393='Material+Limits'!$P$18)*(ROW(Daten!$B$2:$B$393)-1),COUNTIF(Daten!$B$2:$B$393,'Material+Limits'!$P$18)+1-ROW(Daten!A16))),"")</f>
        <v/>
      </c>
      <c r="P79" t="str">
        <f t="array" aca="1" ref="P79" ca="1">IFERROR(INDEX(Daten!$AM$2:$AM$393,LARGE((Daten!$B$2:$B$393='Material+Limits'!$P$18)*(ROW(Daten!$B$2:$B$393)-1),COUNTIF(Daten!$B$2:$B$393,'Material+Limits'!$P$18)+1-ROW(Daten!A16))),"")</f>
        <v/>
      </c>
      <c r="Q79" t="str">
        <f t="array" aca="1" ref="Q79" ca="1">IFERROR(INDEX(Daten!$AN$2:$AN$393,LARGE((Daten!$B$2:$B$393='Material+Limits'!$P$18)*(ROW(Daten!$B$2:$B$393)-1),COUNTIF(Daten!$B$2:$B$393,'Material+Limits'!$P$18)+1-ROW(Daten!A16))),"")</f>
        <v/>
      </c>
    </row>
    <row r="80" spans="2:17" x14ac:dyDescent="0.25">
      <c r="B80" s="19" t="str">
        <f t="array" aca="1" ref="B80" ca="1">IFERROR(INDEX(Daten!$T$2:$T$393,LARGE((Daten!$B$2:$B$393='Material+Limits'!$P$18)*(ROW(Daten!$B$2:$B$393)-1),COUNTIF(Daten!$B$2:$B$393,'Material+Limits'!$P$18)+1-ROW(Daten!A17))),"")</f>
        <v/>
      </c>
      <c r="C80" s="4"/>
      <c r="D80" s="2" t="str">
        <f t="array" aca="1" ref="D80" ca="1">IFERROR(INDEX(Daten!$AF$2:$AF$393,LARGE((Daten!$B$2:$B$393='Material+Limits'!$P$18)*(ROW(Daten!$B$2:$B$393)-1),COUNTIF(Daten!$B$2:$B$393,'Material+Limits'!$P$18)+1-ROW(Daten!A17))),"")</f>
        <v/>
      </c>
      <c r="E80" s="2" t="str">
        <f t="array" aca="1" ref="E80" ca="1">IFERROR(INDEX(Daten!$AE$2:$AE$393,LARGE((Daten!$B$2:$B$393='Material+Limits'!$P$18)*(ROW(Daten!$B$2:$B$393)-1),COUNTIF(Daten!$B$2:$B$393,'Material+Limits'!$P$18)+1-ROW(Daten!A17))),"")</f>
        <v/>
      </c>
      <c r="F80" s="2" t="str">
        <f t="array" aca="1" ref="F80" ca="1">IFERROR(INDEX(Daten!$AG$2:$AG$393,LARGE((Daten!$B$2:$B$393='Material+Limits'!$P$18)*(ROW(Daten!$B$2:$B$393)-1),COUNTIF(Daten!$B$2:$B$393,'Material+Limits'!$P$18)+1-ROW(Daten!A17))),"")</f>
        <v/>
      </c>
      <c r="G80" s="4"/>
      <c r="H80" s="2" t="str">
        <f t="array" aca="1" ref="H80" ca="1">IFERROR(INDEX(Daten!$AH$2:$AH$393,LARGE((Daten!$B$2:$B$393='Material+Limits'!$P$18)*(ROW(Daten!$B$2:$B$393)-1),COUNTIF(Daten!$B$2:$B$393,'Material+Limits'!$P$18)+1-ROW(Daten!A17))),"")</f>
        <v/>
      </c>
      <c r="I80" s="4"/>
      <c r="J80" s="2" t="str">
        <f t="array" aca="1" ref="J80" ca="1">IFERROR(INDEX(Daten!$Z$2:$Z$393,LARGE((Daten!$B$2:$B$393='Material+Limits'!$P$18)*(ROW(Daten!$B$2:$B$393)-1),COUNTIF(Daten!$B$2:$B$393,'Material+Limits'!$P$18)+1-ROW(Daten!A17))),"")</f>
        <v/>
      </c>
      <c r="K80" s="16" t="str">
        <f t="array" aca="1" ref="K80" ca="1">IFERROR(INDEX(Daten!$AA$2:$AA$393,LARGE((Daten!$B$2:$B$393='Material+Limits'!$P$18)*(ROW(Daten!$B$2:$B$393)-1),COUNTIF(Daten!$B$2:$B$393,'Material+Limits'!$P$18)+1-ROW(Daten!A17))),"")</f>
        <v/>
      </c>
      <c r="L80" s="11" t="str">
        <f t="array" aca="1" ref="L80" ca="1">IFERROR(INDEX(Daten!$AC$2:$AC$393,LARGE((Daten!$B$2:$B$393='Material+Limits'!$P$18)*(ROW(Daten!$B$2:$B$393)-1),COUNTIF(Daten!$B$2:$B$393,'Material+Limits'!$P$18)+1-ROW(Daten!A17))),"")</f>
        <v/>
      </c>
      <c r="M80" s="16" t="str">
        <f t="array" aca="1" ref="M80" ca="1">IFERROR(INDEX(Daten!$AD$2:$AD$393,LARGE((Daten!$B$2:$B$393='Material+Limits'!$P$18)*(ROW(Daten!$B$2:$B$393)-1),COUNTIF(Daten!$B$2:$B$393,'Material+Limits'!$P$18)+1-ROW(Daten!A17))),"")</f>
        <v/>
      </c>
      <c r="N80" s="2" t="str">
        <f t="array" aca="1" ref="N80" ca="1">IFERROR(INDEX(Daten!$AI$2:$AI$393,LARGE((Daten!$B$2:$B$393='Material+Limits'!$P$18)*(ROW(Daten!$B$2:$B$393)-1),COUNTIF(Daten!$B$2:$B$393,'Material+Limits'!$P$18)+1-ROW(Daten!A17))),"")</f>
        <v/>
      </c>
      <c r="O80" s="20" t="str">
        <f t="array" aca="1" ref="O80" ca="1">IFERROR(INDEX(Daten!$AJ$2:$AJ$393,LARGE((Daten!$B$2:$B$393='Material+Limits'!$P$18)*(ROW(Daten!$B$2:$B$393)-1),COUNTIF(Daten!$B$2:$B$393,'Material+Limits'!$P$18)+1-ROW(Daten!A17))),"")</f>
        <v/>
      </c>
      <c r="P80" t="str">
        <f t="array" aca="1" ref="P80" ca="1">IFERROR(INDEX(Daten!$AM$2:$AM$393,LARGE((Daten!$B$2:$B$393='Material+Limits'!$P$18)*(ROW(Daten!$B$2:$B$393)-1),COUNTIF(Daten!$B$2:$B$393,'Material+Limits'!$P$18)+1-ROW(Daten!A17))),"")</f>
        <v/>
      </c>
      <c r="Q80" t="str">
        <f t="array" aca="1" ref="Q80" ca="1">IFERROR(INDEX(Daten!$AN$2:$AN$393,LARGE((Daten!$B$2:$B$393='Material+Limits'!$P$18)*(ROW(Daten!$B$2:$B$393)-1),COUNTIF(Daten!$B$2:$B$393,'Material+Limits'!$P$18)+1-ROW(Daten!A17))),"")</f>
        <v/>
      </c>
    </row>
    <row r="81" spans="2:17" x14ac:dyDescent="0.25">
      <c r="B81" s="19" t="str">
        <f t="array" aca="1" ref="B81" ca="1">IFERROR(INDEX(Daten!$T$2:$T$393,LARGE((Daten!$B$2:$B$393='Material+Limits'!$P$18)*(ROW(Daten!$B$2:$B$393)-1),COUNTIF(Daten!$B$2:$B$393,'Material+Limits'!$P$18)+1-ROW(Daten!A18))),"")</f>
        <v/>
      </c>
      <c r="C81" s="4"/>
      <c r="D81" s="2" t="str">
        <f t="array" aca="1" ref="D81" ca="1">IFERROR(INDEX(Daten!$AF$2:$AF$393,LARGE((Daten!$B$2:$B$393='Material+Limits'!$P$18)*(ROW(Daten!$B$2:$B$393)-1),COUNTIF(Daten!$B$2:$B$393,'Material+Limits'!$P$18)+1-ROW(Daten!A18))),"")</f>
        <v/>
      </c>
      <c r="E81" s="2" t="str">
        <f t="array" aca="1" ref="E81" ca="1">IFERROR(INDEX(Daten!$AE$2:$AE$393,LARGE((Daten!$B$2:$B$393='Material+Limits'!$P$18)*(ROW(Daten!$B$2:$B$393)-1),COUNTIF(Daten!$B$2:$B$393,'Material+Limits'!$P$18)+1-ROW(Daten!A18))),"")</f>
        <v/>
      </c>
      <c r="F81" s="2" t="str">
        <f t="array" aca="1" ref="F81" ca="1">IFERROR(INDEX(Daten!$AG$2:$AG$393,LARGE((Daten!$B$2:$B$393='Material+Limits'!$P$18)*(ROW(Daten!$B$2:$B$393)-1),COUNTIF(Daten!$B$2:$B$393,'Material+Limits'!$P$18)+1-ROW(Daten!A18))),"")</f>
        <v/>
      </c>
      <c r="G81" s="4"/>
      <c r="H81" s="2" t="str">
        <f t="array" aca="1" ref="H81" ca="1">IFERROR(INDEX(Daten!$AH$2:$AH$393,LARGE((Daten!$B$2:$B$393='Material+Limits'!$P$18)*(ROW(Daten!$B$2:$B$393)-1),COUNTIF(Daten!$B$2:$B$393,'Material+Limits'!$P$18)+1-ROW(Daten!A18))),"")</f>
        <v/>
      </c>
      <c r="I81" s="4"/>
      <c r="J81" s="2" t="str">
        <f t="array" aca="1" ref="J81" ca="1">IFERROR(INDEX(Daten!$Z$2:$Z$393,LARGE((Daten!$B$2:$B$393='Material+Limits'!$P$18)*(ROW(Daten!$B$2:$B$393)-1),COUNTIF(Daten!$B$2:$B$393,'Material+Limits'!$P$18)+1-ROW(Daten!A18))),"")</f>
        <v/>
      </c>
      <c r="K81" s="16" t="str">
        <f t="array" aca="1" ref="K81" ca="1">IFERROR(INDEX(Daten!$AA$2:$AA$393,LARGE((Daten!$B$2:$B$393='Material+Limits'!$P$18)*(ROW(Daten!$B$2:$B$393)-1),COUNTIF(Daten!$B$2:$B$393,'Material+Limits'!$P$18)+1-ROW(Daten!A18))),"")</f>
        <v/>
      </c>
      <c r="L81" s="11" t="str">
        <f t="array" aca="1" ref="L81" ca="1">IFERROR(INDEX(Daten!$AC$2:$AC$393,LARGE((Daten!$B$2:$B$393='Material+Limits'!$P$18)*(ROW(Daten!$B$2:$B$393)-1),COUNTIF(Daten!$B$2:$B$393,'Material+Limits'!$P$18)+1-ROW(Daten!A18))),"")</f>
        <v/>
      </c>
      <c r="M81" s="16" t="str">
        <f t="array" aca="1" ref="M81" ca="1">IFERROR(INDEX(Daten!$AD$2:$AD$393,LARGE((Daten!$B$2:$B$393='Material+Limits'!$P$18)*(ROW(Daten!$B$2:$B$393)-1),COUNTIF(Daten!$B$2:$B$393,'Material+Limits'!$P$18)+1-ROW(Daten!A18))),"")</f>
        <v/>
      </c>
      <c r="N81" s="2" t="str">
        <f t="array" aca="1" ref="N81" ca="1">IFERROR(INDEX(Daten!$AI$2:$AI$393,LARGE((Daten!$B$2:$B$393='Material+Limits'!$P$18)*(ROW(Daten!$B$2:$B$393)-1),COUNTIF(Daten!$B$2:$B$393,'Material+Limits'!$P$18)+1-ROW(Daten!A18))),"")</f>
        <v/>
      </c>
      <c r="O81" s="20" t="str">
        <f t="array" aca="1" ref="O81" ca="1">IFERROR(INDEX(Daten!$AJ$2:$AJ$393,LARGE((Daten!$B$2:$B$393='Material+Limits'!$P$18)*(ROW(Daten!$B$2:$B$393)-1),COUNTIF(Daten!$B$2:$B$393,'Material+Limits'!$P$18)+1-ROW(Daten!A18))),"")</f>
        <v/>
      </c>
      <c r="P81" t="str">
        <f t="array" aca="1" ref="P81" ca="1">IFERROR(INDEX(Daten!$AM$2:$AM$393,LARGE((Daten!$B$2:$B$393='Material+Limits'!$P$18)*(ROW(Daten!$B$2:$B$393)-1),COUNTIF(Daten!$B$2:$B$393,'Material+Limits'!$P$18)+1-ROW(Daten!A18))),"")</f>
        <v/>
      </c>
      <c r="Q81" t="str">
        <f t="array" aca="1" ref="Q81" ca="1">IFERROR(INDEX(Daten!$AN$2:$AN$393,LARGE((Daten!$B$2:$B$393='Material+Limits'!$P$18)*(ROW(Daten!$B$2:$B$393)-1),COUNTIF(Daten!$B$2:$B$393,'Material+Limits'!$P$18)+1-ROW(Daten!A18))),"")</f>
        <v/>
      </c>
    </row>
    <row r="82" spans="2:17" x14ac:dyDescent="0.25">
      <c r="B82" s="19" t="str">
        <f t="array" aca="1" ref="B82" ca="1">IFERROR(INDEX(Daten!$T$2:$T$393,LARGE((Daten!$B$2:$B$393='Material+Limits'!$P$18)*(ROW(Daten!$B$2:$B$393)-1),COUNTIF(Daten!$B$2:$B$393,'Material+Limits'!$P$18)+1-ROW(Daten!A19))),"")</f>
        <v/>
      </c>
      <c r="C82" s="4"/>
      <c r="D82" s="2" t="str">
        <f t="array" aca="1" ref="D82" ca="1">IFERROR(INDEX(Daten!$AF$2:$AF$393,LARGE((Daten!$B$2:$B$393='Material+Limits'!$P$18)*(ROW(Daten!$B$2:$B$393)-1),COUNTIF(Daten!$B$2:$B$393,'Material+Limits'!$P$18)+1-ROW(Daten!A19))),"")</f>
        <v/>
      </c>
      <c r="E82" s="2" t="str">
        <f t="array" aca="1" ref="E82" ca="1">IFERROR(INDEX(Daten!$AE$2:$AE$393,LARGE((Daten!$B$2:$B$393='Material+Limits'!$P$18)*(ROW(Daten!$B$2:$B$393)-1),COUNTIF(Daten!$B$2:$B$393,'Material+Limits'!$P$18)+1-ROW(Daten!A19))),"")</f>
        <v/>
      </c>
      <c r="F82" s="2" t="str">
        <f t="array" aca="1" ref="F82" ca="1">IFERROR(INDEX(Daten!$AG$2:$AG$393,LARGE((Daten!$B$2:$B$393='Material+Limits'!$P$18)*(ROW(Daten!$B$2:$B$393)-1),COUNTIF(Daten!$B$2:$B$393,'Material+Limits'!$P$18)+1-ROW(Daten!A19))),"")</f>
        <v/>
      </c>
      <c r="G82" s="4"/>
      <c r="H82" s="2" t="str">
        <f t="array" aca="1" ref="H82" ca="1">IFERROR(INDEX(Daten!$AH$2:$AH$393,LARGE((Daten!$B$2:$B$393='Material+Limits'!$P$18)*(ROW(Daten!$B$2:$B$393)-1),COUNTIF(Daten!$B$2:$B$393,'Material+Limits'!$P$18)+1-ROW(Daten!A19))),"")</f>
        <v/>
      </c>
      <c r="I82" s="4"/>
      <c r="J82" s="2" t="str">
        <f t="array" aca="1" ref="J82" ca="1">IFERROR(INDEX(Daten!$Z$2:$Z$393,LARGE((Daten!$B$2:$B$393='Material+Limits'!$P$18)*(ROW(Daten!$B$2:$B$393)-1),COUNTIF(Daten!$B$2:$B$393,'Material+Limits'!$P$18)+1-ROW(Daten!A19))),"")</f>
        <v/>
      </c>
      <c r="K82" s="16" t="str">
        <f t="array" aca="1" ref="K82" ca="1">IFERROR(INDEX(Daten!$AA$2:$AA$393,LARGE((Daten!$B$2:$B$393='Material+Limits'!$P$18)*(ROW(Daten!$B$2:$B$393)-1),COUNTIF(Daten!$B$2:$B$393,'Material+Limits'!$P$18)+1-ROW(Daten!A19))),"")</f>
        <v/>
      </c>
      <c r="L82" s="11" t="str">
        <f t="array" aca="1" ref="L82" ca="1">IFERROR(INDEX(Daten!$AC$2:$AC$393,LARGE((Daten!$B$2:$B$393='Material+Limits'!$P$18)*(ROW(Daten!$B$2:$B$393)-1),COUNTIF(Daten!$B$2:$B$393,'Material+Limits'!$P$18)+1-ROW(Daten!A19))),"")</f>
        <v/>
      </c>
      <c r="M82" s="16" t="str">
        <f t="array" aca="1" ref="M82" ca="1">IFERROR(INDEX(Daten!$AD$2:$AD$393,LARGE((Daten!$B$2:$B$393='Material+Limits'!$P$18)*(ROW(Daten!$B$2:$B$393)-1),COUNTIF(Daten!$B$2:$B$393,'Material+Limits'!$P$18)+1-ROW(Daten!A19))),"")</f>
        <v/>
      </c>
      <c r="N82" s="2" t="str">
        <f t="array" aca="1" ref="N82" ca="1">IFERROR(INDEX(Daten!$AI$2:$AI$393,LARGE((Daten!$B$2:$B$393='Material+Limits'!$P$18)*(ROW(Daten!$B$2:$B$393)-1),COUNTIF(Daten!$B$2:$B$393,'Material+Limits'!$P$18)+1-ROW(Daten!A19))),"")</f>
        <v/>
      </c>
      <c r="O82" s="20" t="str">
        <f t="array" aca="1" ref="O82" ca="1">IFERROR(INDEX(Daten!$AJ$2:$AJ$393,LARGE((Daten!$B$2:$B$393='Material+Limits'!$P$18)*(ROW(Daten!$B$2:$B$393)-1),COUNTIF(Daten!$B$2:$B$393,'Material+Limits'!$P$18)+1-ROW(Daten!A19))),"")</f>
        <v/>
      </c>
      <c r="P82" t="str">
        <f t="array" aca="1" ref="P82" ca="1">IFERROR(INDEX(Daten!$AM$2:$AM$393,LARGE((Daten!$B$2:$B$393='Material+Limits'!$P$18)*(ROW(Daten!$B$2:$B$393)-1),COUNTIF(Daten!$B$2:$B$393,'Material+Limits'!$P$18)+1-ROW(Daten!A19))),"")</f>
        <v/>
      </c>
      <c r="Q82" t="str">
        <f t="array" aca="1" ref="Q82" ca="1">IFERROR(INDEX(Daten!$AN$2:$AN$393,LARGE((Daten!$B$2:$B$393='Material+Limits'!$P$18)*(ROW(Daten!$B$2:$B$393)-1),COUNTIF(Daten!$B$2:$B$393,'Material+Limits'!$P$18)+1-ROW(Daten!A19))),"")</f>
        <v/>
      </c>
    </row>
    <row r="83" spans="2:17" x14ac:dyDescent="0.25">
      <c r="B83" s="19" t="str">
        <f t="array" aca="1" ref="B83" ca="1">IFERROR(INDEX(Daten!$T$2:$T$393,LARGE((Daten!$B$2:$B$393='Material+Limits'!$P$18)*(ROW(Daten!$B$2:$B$393)-1),COUNTIF(Daten!$B$2:$B$393,'Material+Limits'!$P$18)+1-ROW(Daten!A20))),"")</f>
        <v/>
      </c>
      <c r="C83" s="4"/>
      <c r="D83" s="2" t="str">
        <f t="array" aca="1" ref="D83" ca="1">IFERROR(INDEX(Daten!$AF$2:$AF$393,LARGE((Daten!$B$2:$B$393='Material+Limits'!$P$18)*(ROW(Daten!$B$2:$B$393)-1),COUNTIF(Daten!$B$2:$B$393,'Material+Limits'!$P$18)+1-ROW(Daten!A20))),"")</f>
        <v/>
      </c>
      <c r="E83" s="2" t="str">
        <f t="array" aca="1" ref="E83" ca="1">IFERROR(INDEX(Daten!$AE$2:$AE$393,LARGE((Daten!$B$2:$B$393='Material+Limits'!$P$18)*(ROW(Daten!$B$2:$B$393)-1),COUNTIF(Daten!$B$2:$B$393,'Material+Limits'!$P$18)+1-ROW(Daten!A20))),"")</f>
        <v/>
      </c>
      <c r="F83" s="2" t="str">
        <f t="array" aca="1" ref="F83" ca="1">IFERROR(INDEX(Daten!$AG$2:$AG$393,LARGE((Daten!$B$2:$B$393='Material+Limits'!$P$18)*(ROW(Daten!$B$2:$B$393)-1),COUNTIF(Daten!$B$2:$B$393,'Material+Limits'!$P$18)+1-ROW(Daten!A20))),"")</f>
        <v/>
      </c>
      <c r="G83" s="4"/>
      <c r="H83" s="2" t="str">
        <f t="array" aca="1" ref="H83" ca="1">IFERROR(INDEX(Daten!$AH$2:$AH$393,LARGE((Daten!$B$2:$B$393='Material+Limits'!$P$18)*(ROW(Daten!$B$2:$B$393)-1),COUNTIF(Daten!$B$2:$B$393,'Material+Limits'!$P$18)+1-ROW(Daten!A20))),"")</f>
        <v/>
      </c>
      <c r="I83" s="4"/>
      <c r="J83" s="2" t="str">
        <f t="array" aca="1" ref="J83" ca="1">IFERROR(INDEX(Daten!$Z$2:$Z$393,LARGE((Daten!$B$2:$B$393='Material+Limits'!$P$18)*(ROW(Daten!$B$2:$B$393)-1),COUNTIF(Daten!$B$2:$B$393,'Material+Limits'!$P$18)+1-ROW(Daten!A20))),"")</f>
        <v/>
      </c>
      <c r="K83" s="16" t="str">
        <f t="array" aca="1" ref="K83" ca="1">IFERROR(INDEX(Daten!$AA$2:$AA$393,LARGE((Daten!$B$2:$B$393='Material+Limits'!$P$18)*(ROW(Daten!$B$2:$B$393)-1),COUNTIF(Daten!$B$2:$B$393,'Material+Limits'!$P$18)+1-ROW(Daten!A20))),"")</f>
        <v/>
      </c>
      <c r="L83" s="11" t="str">
        <f t="array" aca="1" ref="L83" ca="1">IFERROR(INDEX(Daten!$AC$2:$AC$393,LARGE((Daten!$B$2:$B$393='Material+Limits'!$P$18)*(ROW(Daten!$B$2:$B$393)-1),COUNTIF(Daten!$B$2:$B$393,'Material+Limits'!$P$18)+1-ROW(Daten!A20))),"")</f>
        <v/>
      </c>
      <c r="M83" s="16" t="str">
        <f t="array" aca="1" ref="M83" ca="1">IFERROR(INDEX(Daten!$AD$2:$AD$393,LARGE((Daten!$B$2:$B$393='Material+Limits'!$P$18)*(ROW(Daten!$B$2:$B$393)-1),COUNTIF(Daten!$B$2:$B$393,'Material+Limits'!$P$18)+1-ROW(Daten!A20))),"")</f>
        <v/>
      </c>
      <c r="N83" s="2" t="str">
        <f t="array" aca="1" ref="N83" ca="1">IFERROR(INDEX(Daten!$AI$2:$AI$393,LARGE((Daten!$B$2:$B$393='Material+Limits'!$P$18)*(ROW(Daten!$B$2:$B$393)-1),COUNTIF(Daten!$B$2:$B$393,'Material+Limits'!$P$18)+1-ROW(Daten!A20))),"")</f>
        <v/>
      </c>
      <c r="O83" s="20" t="str">
        <f t="array" aca="1" ref="O83" ca="1">IFERROR(INDEX(Daten!$AJ$2:$AJ$393,LARGE((Daten!$B$2:$B$393='Material+Limits'!$P$18)*(ROW(Daten!$B$2:$B$393)-1),COUNTIF(Daten!$B$2:$B$393,'Material+Limits'!$P$18)+1-ROW(Daten!A20))),"")</f>
        <v/>
      </c>
      <c r="P83" t="str">
        <f t="array" aca="1" ref="P83" ca="1">IFERROR(INDEX(Daten!$AM$2:$AM$393,LARGE((Daten!$B$2:$B$393='Material+Limits'!$P$18)*(ROW(Daten!$B$2:$B$393)-1),COUNTIF(Daten!$B$2:$B$393,'Material+Limits'!$P$18)+1-ROW(Daten!A20))),"")</f>
        <v/>
      </c>
      <c r="Q83" t="str">
        <f t="array" aca="1" ref="Q83" ca="1">IFERROR(INDEX(Daten!$AN$2:$AN$393,LARGE((Daten!$B$2:$B$393='Material+Limits'!$P$18)*(ROW(Daten!$B$2:$B$393)-1),COUNTIF(Daten!$B$2:$B$393,'Material+Limits'!$P$18)+1-ROW(Daten!A20))),"")</f>
        <v/>
      </c>
    </row>
    <row r="84" spans="2:17" x14ac:dyDescent="0.25">
      <c r="B84" s="19" t="str">
        <f t="array" aca="1" ref="B84" ca="1">IFERROR(INDEX(Daten!$T$2:$T$393,LARGE((Daten!$B$2:$B$393='Material+Limits'!$P$18)*(ROW(Daten!$B$2:$B$393)-1),COUNTIF(Daten!$B$2:$B$393,'Material+Limits'!$P$18)+1-ROW(Daten!A21))),"")</f>
        <v/>
      </c>
      <c r="C84" s="4"/>
      <c r="D84" s="2" t="str">
        <f t="array" aca="1" ref="D84" ca="1">IFERROR(INDEX(Daten!$AF$2:$AF$393,LARGE((Daten!$B$2:$B$393='Material+Limits'!$P$18)*(ROW(Daten!$B$2:$B$393)-1),COUNTIF(Daten!$B$2:$B$393,'Material+Limits'!$P$18)+1-ROW(Daten!A21))),"")</f>
        <v/>
      </c>
      <c r="E84" s="2" t="str">
        <f t="array" aca="1" ref="E84" ca="1">IFERROR(INDEX(Daten!$AE$2:$AE$393,LARGE((Daten!$B$2:$B$393='Material+Limits'!$P$18)*(ROW(Daten!$B$2:$B$393)-1),COUNTIF(Daten!$B$2:$B$393,'Material+Limits'!$P$18)+1-ROW(Daten!A21))),"")</f>
        <v/>
      </c>
      <c r="F84" s="2" t="str">
        <f t="array" aca="1" ref="F84" ca="1">IFERROR(INDEX(Daten!$AG$2:$AG$393,LARGE((Daten!$B$2:$B$393='Material+Limits'!$P$18)*(ROW(Daten!$B$2:$B$393)-1),COUNTIF(Daten!$B$2:$B$393,'Material+Limits'!$P$18)+1-ROW(Daten!A21))),"")</f>
        <v/>
      </c>
      <c r="G84" s="4"/>
      <c r="H84" s="2" t="str">
        <f t="array" aca="1" ref="H84" ca="1">IFERROR(INDEX(Daten!$AH$2:$AH$393,LARGE((Daten!$B$2:$B$393='Material+Limits'!$P$18)*(ROW(Daten!$B$2:$B$393)-1),COUNTIF(Daten!$B$2:$B$393,'Material+Limits'!$P$18)+1-ROW(Daten!A21))),"")</f>
        <v/>
      </c>
      <c r="I84" s="4"/>
      <c r="J84" s="2" t="str">
        <f t="array" aca="1" ref="J84" ca="1">IFERROR(INDEX(Daten!$Z$2:$Z$393,LARGE((Daten!$B$2:$B$393='Material+Limits'!$P$18)*(ROW(Daten!$B$2:$B$393)-1),COUNTIF(Daten!$B$2:$B$393,'Material+Limits'!$P$18)+1-ROW(Daten!A21))),"")</f>
        <v/>
      </c>
      <c r="K84" s="16" t="str">
        <f t="array" aca="1" ref="K84" ca="1">IFERROR(INDEX(Daten!$AA$2:$AA$393,LARGE((Daten!$B$2:$B$393='Material+Limits'!$P$18)*(ROW(Daten!$B$2:$B$393)-1),COUNTIF(Daten!$B$2:$B$393,'Material+Limits'!$P$18)+1-ROW(Daten!A21))),"")</f>
        <v/>
      </c>
      <c r="L84" s="11" t="str">
        <f t="array" aca="1" ref="L84" ca="1">IFERROR(INDEX(Daten!$AC$2:$AC$393,LARGE((Daten!$B$2:$B$393='Material+Limits'!$P$18)*(ROW(Daten!$B$2:$B$393)-1),COUNTIF(Daten!$B$2:$B$393,'Material+Limits'!$P$18)+1-ROW(Daten!A21))),"")</f>
        <v/>
      </c>
      <c r="M84" s="16" t="str">
        <f t="array" aca="1" ref="M84" ca="1">IFERROR(INDEX(Daten!$AD$2:$AD$393,LARGE((Daten!$B$2:$B$393='Material+Limits'!$P$18)*(ROW(Daten!$B$2:$B$393)-1),COUNTIF(Daten!$B$2:$B$393,'Material+Limits'!$P$18)+1-ROW(Daten!A21))),"")</f>
        <v/>
      </c>
      <c r="N84" s="2" t="str">
        <f t="array" aca="1" ref="N84" ca="1">IFERROR(INDEX(Daten!$AI$2:$AI$393,LARGE((Daten!$B$2:$B$393='Material+Limits'!$P$18)*(ROW(Daten!$B$2:$B$393)-1),COUNTIF(Daten!$B$2:$B$393,'Material+Limits'!$P$18)+1-ROW(Daten!A21))),"")</f>
        <v/>
      </c>
      <c r="O84" s="20" t="str">
        <f t="array" aca="1" ref="O84" ca="1">IFERROR(INDEX(Daten!$AJ$2:$AJ$393,LARGE((Daten!$B$2:$B$393='Material+Limits'!$P$18)*(ROW(Daten!$B$2:$B$393)-1),COUNTIF(Daten!$B$2:$B$393,'Material+Limits'!$P$18)+1-ROW(Daten!A21))),"")</f>
        <v/>
      </c>
      <c r="P84" t="str">
        <f t="array" aca="1" ref="P84" ca="1">IFERROR(INDEX(Daten!$AM$2:$AM$393,LARGE((Daten!$B$2:$B$393='Material+Limits'!$P$18)*(ROW(Daten!$B$2:$B$393)-1),COUNTIF(Daten!$B$2:$B$393,'Material+Limits'!$P$18)+1-ROW(Daten!A21))),"")</f>
        <v/>
      </c>
      <c r="Q84" t="str">
        <f t="array" aca="1" ref="Q84" ca="1">IFERROR(INDEX(Daten!$AN$2:$AN$393,LARGE((Daten!$B$2:$B$393='Material+Limits'!$P$18)*(ROW(Daten!$B$2:$B$393)-1),COUNTIF(Daten!$B$2:$B$393,'Material+Limits'!$P$18)+1-ROW(Daten!A21))),"")</f>
        <v/>
      </c>
    </row>
    <row r="85" spans="2:17" x14ac:dyDescent="0.25">
      <c r="B85" s="19" t="str">
        <f t="array" aca="1" ref="B85" ca="1">IFERROR(INDEX(Daten!$T$2:$T$393,LARGE((Daten!$B$2:$B$393='Material+Limits'!$P$18)*(ROW(Daten!$B$2:$B$393)-1),COUNTIF(Daten!$B$2:$B$393,'Material+Limits'!$P$18)+1-ROW(Daten!A22))),"")</f>
        <v/>
      </c>
      <c r="C85" s="4"/>
      <c r="D85" s="2" t="str">
        <f t="array" aca="1" ref="D85" ca="1">IFERROR(INDEX(Daten!$AF$2:$AF$393,LARGE((Daten!$B$2:$B$393='Material+Limits'!$P$18)*(ROW(Daten!$B$2:$B$393)-1),COUNTIF(Daten!$B$2:$B$393,'Material+Limits'!$P$18)+1-ROW(Daten!A22))),"")</f>
        <v/>
      </c>
      <c r="E85" s="2" t="str">
        <f t="array" aca="1" ref="E85" ca="1">IFERROR(INDEX(Daten!$AE$2:$AE$393,LARGE((Daten!$B$2:$B$393='Material+Limits'!$P$18)*(ROW(Daten!$B$2:$B$393)-1),COUNTIF(Daten!$B$2:$B$393,'Material+Limits'!$P$18)+1-ROW(Daten!A22))),"")</f>
        <v/>
      </c>
      <c r="F85" s="2" t="str">
        <f t="array" aca="1" ref="F85" ca="1">IFERROR(INDEX(Daten!$AG$2:$AG$393,LARGE((Daten!$B$2:$B$393='Material+Limits'!$P$18)*(ROW(Daten!$B$2:$B$393)-1),COUNTIF(Daten!$B$2:$B$393,'Material+Limits'!$P$18)+1-ROW(Daten!A22))),"")</f>
        <v/>
      </c>
      <c r="G85" s="4"/>
      <c r="H85" s="2" t="str">
        <f t="array" aca="1" ref="H85" ca="1">IFERROR(INDEX(Daten!$AH$2:$AH$393,LARGE((Daten!$B$2:$B$393='Material+Limits'!$P$18)*(ROW(Daten!$B$2:$B$393)-1),COUNTIF(Daten!$B$2:$B$393,'Material+Limits'!$P$18)+1-ROW(Daten!A22))),"")</f>
        <v/>
      </c>
      <c r="I85" s="4"/>
      <c r="J85" s="2" t="str">
        <f t="array" aca="1" ref="J85" ca="1">IFERROR(INDEX(Daten!$Z$2:$Z$393,LARGE((Daten!$B$2:$B$393='Material+Limits'!$P$18)*(ROW(Daten!$B$2:$B$393)-1),COUNTIF(Daten!$B$2:$B$393,'Material+Limits'!$P$18)+1-ROW(Daten!A22))),"")</f>
        <v/>
      </c>
      <c r="K85" s="16" t="str">
        <f t="array" aca="1" ref="K85" ca="1">IFERROR(INDEX(Daten!$AA$2:$AA$393,LARGE((Daten!$B$2:$B$393='Material+Limits'!$P$18)*(ROW(Daten!$B$2:$B$393)-1),COUNTIF(Daten!$B$2:$B$393,'Material+Limits'!$P$18)+1-ROW(Daten!A22))),"")</f>
        <v/>
      </c>
      <c r="L85" s="11" t="str">
        <f t="array" aca="1" ref="L85" ca="1">IFERROR(INDEX(Daten!$AC$2:$AC$393,LARGE((Daten!$B$2:$B$393='Material+Limits'!$P$18)*(ROW(Daten!$B$2:$B$393)-1),COUNTIF(Daten!$B$2:$B$393,'Material+Limits'!$P$18)+1-ROW(Daten!A22))),"")</f>
        <v/>
      </c>
      <c r="M85" s="16" t="str">
        <f t="array" aca="1" ref="M85" ca="1">IFERROR(INDEX(Daten!$AD$2:$AD$393,LARGE((Daten!$B$2:$B$393='Material+Limits'!$P$18)*(ROW(Daten!$B$2:$B$393)-1),COUNTIF(Daten!$B$2:$B$393,'Material+Limits'!$P$18)+1-ROW(Daten!A22))),"")</f>
        <v/>
      </c>
      <c r="N85" s="2" t="str">
        <f t="array" aca="1" ref="N85" ca="1">IFERROR(INDEX(Daten!$AI$2:$AI$393,LARGE((Daten!$B$2:$B$393='Material+Limits'!$P$18)*(ROW(Daten!$B$2:$B$393)-1),COUNTIF(Daten!$B$2:$B$393,'Material+Limits'!$P$18)+1-ROW(Daten!A22))),"")</f>
        <v/>
      </c>
      <c r="O85" s="20" t="str">
        <f t="array" aca="1" ref="O85" ca="1">IFERROR(INDEX(Daten!$AJ$2:$AJ$393,LARGE((Daten!$B$2:$B$393='Material+Limits'!$P$18)*(ROW(Daten!$B$2:$B$393)-1),COUNTIF(Daten!$B$2:$B$393,'Material+Limits'!$P$18)+1-ROW(Daten!A22))),"")</f>
        <v/>
      </c>
      <c r="P85" t="str">
        <f t="array" aca="1" ref="P85" ca="1">IFERROR(INDEX(Daten!$AM$2:$AM$393,LARGE((Daten!$B$2:$B$393='Material+Limits'!$P$18)*(ROW(Daten!$B$2:$B$393)-1),COUNTIF(Daten!$B$2:$B$393,'Material+Limits'!$P$18)+1-ROW(Daten!A22))),"")</f>
        <v/>
      </c>
      <c r="Q85" t="str">
        <f t="array" aca="1" ref="Q85" ca="1">IFERROR(INDEX(Daten!$AN$2:$AN$393,LARGE((Daten!$B$2:$B$393='Material+Limits'!$P$18)*(ROW(Daten!$B$2:$B$393)-1),COUNTIF(Daten!$B$2:$B$393,'Material+Limits'!$P$18)+1-ROW(Daten!A22))),"")</f>
        <v/>
      </c>
    </row>
    <row r="86" spans="2:17" x14ac:dyDescent="0.25">
      <c r="B86" s="19" t="str">
        <f t="array" aca="1" ref="B86" ca="1">IFERROR(INDEX(Daten!$T$2:$T$393,LARGE((Daten!$B$2:$B$393='Material+Limits'!$P$18)*(ROW(Daten!$B$2:$B$393)-1),COUNTIF(Daten!$B$2:$B$393,'Material+Limits'!$P$18)+1-ROW(Daten!A23))),"")</f>
        <v/>
      </c>
      <c r="C86" s="4"/>
      <c r="D86" s="2" t="str">
        <f t="array" aca="1" ref="D86" ca="1">IFERROR(INDEX(Daten!$AF$2:$AF$393,LARGE((Daten!$B$2:$B$393='Material+Limits'!$P$18)*(ROW(Daten!$B$2:$B$393)-1),COUNTIF(Daten!$B$2:$B$393,'Material+Limits'!$P$18)+1-ROW(Daten!A23))),"")</f>
        <v/>
      </c>
      <c r="E86" s="2" t="str">
        <f t="array" aca="1" ref="E86" ca="1">IFERROR(INDEX(Daten!$AE$2:$AE$393,LARGE((Daten!$B$2:$B$393='Material+Limits'!$P$18)*(ROW(Daten!$B$2:$B$393)-1),COUNTIF(Daten!$B$2:$B$393,'Material+Limits'!$P$18)+1-ROW(Daten!A23))),"")</f>
        <v/>
      </c>
      <c r="F86" s="2" t="str">
        <f t="array" aca="1" ref="F86" ca="1">IFERROR(INDEX(Daten!$AG$2:$AG$393,LARGE((Daten!$B$2:$B$393='Material+Limits'!$P$18)*(ROW(Daten!$B$2:$B$393)-1),COUNTIF(Daten!$B$2:$B$393,'Material+Limits'!$P$18)+1-ROW(Daten!A23))),"")</f>
        <v/>
      </c>
      <c r="G86" s="4"/>
      <c r="H86" s="2" t="str">
        <f t="array" aca="1" ref="H86" ca="1">IFERROR(INDEX(Daten!$AH$2:$AH$393,LARGE((Daten!$B$2:$B$393='Material+Limits'!$P$18)*(ROW(Daten!$B$2:$B$393)-1),COUNTIF(Daten!$B$2:$B$393,'Material+Limits'!$P$18)+1-ROW(Daten!A23))),"")</f>
        <v/>
      </c>
      <c r="I86" s="4"/>
      <c r="J86" s="2" t="str">
        <f t="array" aca="1" ref="J86" ca="1">IFERROR(INDEX(Daten!$Z$2:$Z$393,LARGE((Daten!$B$2:$B$393='Material+Limits'!$P$18)*(ROW(Daten!$B$2:$B$393)-1),COUNTIF(Daten!$B$2:$B$393,'Material+Limits'!$P$18)+1-ROW(Daten!A23))),"")</f>
        <v/>
      </c>
      <c r="K86" s="16" t="str">
        <f t="array" aca="1" ref="K86" ca="1">IFERROR(INDEX(Daten!$AA$2:$AA$393,LARGE((Daten!$B$2:$B$393='Material+Limits'!$P$18)*(ROW(Daten!$B$2:$B$393)-1),COUNTIF(Daten!$B$2:$B$393,'Material+Limits'!$P$18)+1-ROW(Daten!A23))),"")</f>
        <v/>
      </c>
      <c r="L86" s="11" t="str">
        <f t="array" aca="1" ref="L86" ca="1">IFERROR(INDEX(Daten!$AC$2:$AC$393,LARGE((Daten!$B$2:$B$393='Material+Limits'!$P$18)*(ROW(Daten!$B$2:$B$393)-1),COUNTIF(Daten!$B$2:$B$393,'Material+Limits'!$P$18)+1-ROW(Daten!A23))),"")</f>
        <v/>
      </c>
      <c r="M86" s="16" t="str">
        <f t="array" aca="1" ref="M86" ca="1">IFERROR(INDEX(Daten!$AD$2:$AD$393,LARGE((Daten!$B$2:$B$393='Material+Limits'!$P$18)*(ROW(Daten!$B$2:$B$393)-1),COUNTIF(Daten!$B$2:$B$393,'Material+Limits'!$P$18)+1-ROW(Daten!A23))),"")</f>
        <v/>
      </c>
      <c r="N86" s="2" t="str">
        <f t="array" aca="1" ref="N86" ca="1">IFERROR(INDEX(Daten!$AI$2:$AI$393,LARGE((Daten!$B$2:$B$393='Material+Limits'!$P$18)*(ROW(Daten!$B$2:$B$393)-1),COUNTIF(Daten!$B$2:$B$393,'Material+Limits'!$P$18)+1-ROW(Daten!A23))),"")</f>
        <v/>
      </c>
      <c r="O86" s="20" t="str">
        <f t="array" aca="1" ref="O86" ca="1">IFERROR(INDEX(Daten!$AJ$2:$AJ$393,LARGE((Daten!$B$2:$B$393='Material+Limits'!$P$18)*(ROW(Daten!$B$2:$B$393)-1),COUNTIF(Daten!$B$2:$B$393,'Material+Limits'!$P$18)+1-ROW(Daten!A23))),"")</f>
        <v/>
      </c>
      <c r="P86" t="str">
        <f t="array" aca="1" ref="P86" ca="1">IFERROR(INDEX(Daten!$AM$2:$AM$393,LARGE((Daten!$B$2:$B$393='Material+Limits'!$P$18)*(ROW(Daten!$B$2:$B$393)-1),COUNTIF(Daten!$B$2:$B$393,'Material+Limits'!$P$18)+1-ROW(Daten!A23))),"")</f>
        <v/>
      </c>
      <c r="Q86" t="str">
        <f t="array" aca="1" ref="Q86" ca="1">IFERROR(INDEX(Daten!$AN$2:$AN$393,LARGE((Daten!$B$2:$B$393='Material+Limits'!$P$18)*(ROW(Daten!$B$2:$B$393)-1),COUNTIF(Daten!$B$2:$B$393,'Material+Limits'!$P$18)+1-ROW(Daten!A23))),"")</f>
        <v/>
      </c>
    </row>
    <row r="87" spans="2:17" x14ac:dyDescent="0.25">
      <c r="B87" s="19" t="str">
        <f t="array" aca="1" ref="B87" ca="1">IFERROR(INDEX(Daten!$T$2:$T$393,LARGE((Daten!$B$2:$B$393='Material+Limits'!$P$18)*(ROW(Daten!$B$2:$B$393)-1),COUNTIF(Daten!$B$2:$B$393,'Material+Limits'!$P$18)+1-ROW(Daten!A24))),"")</f>
        <v/>
      </c>
      <c r="C87" s="4"/>
      <c r="D87" s="2" t="str">
        <f t="array" aca="1" ref="D87" ca="1">IFERROR(INDEX(Daten!$AF$2:$AF$393,LARGE((Daten!$B$2:$B$393='Material+Limits'!$P$18)*(ROW(Daten!$B$2:$B$393)-1),COUNTIF(Daten!$B$2:$B$393,'Material+Limits'!$P$18)+1-ROW(Daten!A24))),"")</f>
        <v/>
      </c>
      <c r="E87" s="2" t="str">
        <f t="array" aca="1" ref="E87" ca="1">IFERROR(INDEX(Daten!$AE$2:$AE$393,LARGE((Daten!$B$2:$B$393='Material+Limits'!$P$18)*(ROW(Daten!$B$2:$B$393)-1),COUNTIF(Daten!$B$2:$B$393,'Material+Limits'!$P$18)+1-ROW(Daten!A24))),"")</f>
        <v/>
      </c>
      <c r="F87" s="2" t="str">
        <f t="array" aca="1" ref="F87" ca="1">IFERROR(INDEX(Daten!$AG$2:$AG$393,LARGE((Daten!$B$2:$B$393='Material+Limits'!$P$18)*(ROW(Daten!$B$2:$B$393)-1),COUNTIF(Daten!$B$2:$B$393,'Material+Limits'!$P$18)+1-ROW(Daten!A24))),"")</f>
        <v/>
      </c>
      <c r="G87" s="4"/>
      <c r="H87" s="2" t="str">
        <f t="array" aca="1" ref="H87" ca="1">IFERROR(INDEX(Daten!$AH$2:$AH$393,LARGE((Daten!$B$2:$B$393='Material+Limits'!$P$18)*(ROW(Daten!$B$2:$B$393)-1),COUNTIF(Daten!$B$2:$B$393,'Material+Limits'!$P$18)+1-ROW(Daten!A24))),"")</f>
        <v/>
      </c>
      <c r="I87" s="4"/>
      <c r="J87" s="2" t="str">
        <f t="array" aca="1" ref="J87" ca="1">IFERROR(INDEX(Daten!$Z$2:$Z$393,LARGE((Daten!$B$2:$B$393='Material+Limits'!$P$18)*(ROW(Daten!$B$2:$B$393)-1),COUNTIF(Daten!$B$2:$B$393,'Material+Limits'!$P$18)+1-ROW(Daten!A24))),"")</f>
        <v/>
      </c>
      <c r="K87" s="16" t="str">
        <f t="array" aca="1" ref="K87" ca="1">IFERROR(INDEX(Daten!$AA$2:$AA$393,LARGE((Daten!$B$2:$B$393='Material+Limits'!$P$18)*(ROW(Daten!$B$2:$B$393)-1),COUNTIF(Daten!$B$2:$B$393,'Material+Limits'!$P$18)+1-ROW(Daten!A24))),"")</f>
        <v/>
      </c>
      <c r="L87" s="11" t="str">
        <f t="array" aca="1" ref="L87" ca="1">IFERROR(INDEX(Daten!$AC$2:$AC$393,LARGE((Daten!$B$2:$B$393='Material+Limits'!$P$18)*(ROW(Daten!$B$2:$B$393)-1),COUNTIF(Daten!$B$2:$B$393,'Material+Limits'!$P$18)+1-ROW(Daten!A24))),"")</f>
        <v/>
      </c>
      <c r="M87" s="16" t="str">
        <f t="array" aca="1" ref="M87" ca="1">IFERROR(INDEX(Daten!$AD$2:$AD$393,LARGE((Daten!$B$2:$B$393='Material+Limits'!$P$18)*(ROW(Daten!$B$2:$B$393)-1),COUNTIF(Daten!$B$2:$B$393,'Material+Limits'!$P$18)+1-ROW(Daten!A24))),"")</f>
        <v/>
      </c>
      <c r="N87" s="2" t="str">
        <f t="array" aca="1" ref="N87" ca="1">IFERROR(INDEX(Daten!$AI$2:$AI$393,LARGE((Daten!$B$2:$B$393='Material+Limits'!$P$18)*(ROW(Daten!$B$2:$B$393)-1),COUNTIF(Daten!$B$2:$B$393,'Material+Limits'!$P$18)+1-ROW(Daten!A24))),"")</f>
        <v/>
      </c>
      <c r="O87" s="20" t="str">
        <f t="array" aca="1" ref="O87" ca="1">IFERROR(INDEX(Daten!$AJ$2:$AJ$393,LARGE((Daten!$B$2:$B$393='Material+Limits'!$P$18)*(ROW(Daten!$B$2:$B$393)-1),COUNTIF(Daten!$B$2:$B$393,'Material+Limits'!$P$18)+1-ROW(Daten!A24))),"")</f>
        <v/>
      </c>
      <c r="P87" t="str">
        <f t="array" aca="1" ref="P87" ca="1">IFERROR(INDEX(Daten!$AM$2:$AM$393,LARGE((Daten!$B$2:$B$393='Material+Limits'!$P$18)*(ROW(Daten!$B$2:$B$393)-1),COUNTIF(Daten!$B$2:$B$393,'Material+Limits'!$P$18)+1-ROW(Daten!A24))),"")</f>
        <v/>
      </c>
      <c r="Q87" t="str">
        <f t="array" aca="1" ref="Q87" ca="1">IFERROR(INDEX(Daten!$AN$2:$AN$393,LARGE((Daten!$B$2:$B$393='Material+Limits'!$P$18)*(ROW(Daten!$B$2:$B$393)-1),COUNTIF(Daten!$B$2:$B$393,'Material+Limits'!$P$18)+1-ROW(Daten!A24))),"")</f>
        <v/>
      </c>
    </row>
    <row r="88" spans="2:17" x14ac:dyDescent="0.25">
      <c r="B88" s="19" t="str">
        <f t="array" aca="1" ref="B88" ca="1">IFERROR(INDEX(Daten!$T$2:$T$393,LARGE((Daten!$B$2:$B$393='Material+Limits'!$P$18)*(ROW(Daten!$B$2:$B$393)-1),COUNTIF(Daten!$B$2:$B$393,'Material+Limits'!$P$18)+1-ROW(Daten!A25))),"")</f>
        <v/>
      </c>
      <c r="C88" s="4"/>
      <c r="D88" s="2" t="str">
        <f t="array" aca="1" ref="D88" ca="1">IFERROR(INDEX(Daten!$AF$2:$AF$393,LARGE((Daten!$B$2:$B$393='Material+Limits'!$P$18)*(ROW(Daten!$B$2:$B$393)-1),COUNTIF(Daten!$B$2:$B$393,'Material+Limits'!$P$18)+1-ROW(Daten!A25))),"")</f>
        <v/>
      </c>
      <c r="E88" s="2" t="str">
        <f t="array" aca="1" ref="E88" ca="1">IFERROR(INDEX(Daten!$AE$2:$AE$393,LARGE((Daten!$B$2:$B$393='Material+Limits'!$P$18)*(ROW(Daten!$B$2:$B$393)-1),COUNTIF(Daten!$B$2:$B$393,'Material+Limits'!$P$18)+1-ROW(Daten!A25))),"")</f>
        <v/>
      </c>
      <c r="F88" s="2" t="str">
        <f t="array" aca="1" ref="F88" ca="1">IFERROR(INDEX(Daten!$AG$2:$AG$393,LARGE((Daten!$B$2:$B$393='Material+Limits'!$P$18)*(ROW(Daten!$B$2:$B$393)-1),COUNTIF(Daten!$B$2:$B$393,'Material+Limits'!$P$18)+1-ROW(Daten!A25))),"")</f>
        <v/>
      </c>
      <c r="G88" s="4"/>
      <c r="H88" s="2" t="str">
        <f t="array" aca="1" ref="H88" ca="1">IFERROR(INDEX(Daten!$AH$2:$AH$393,LARGE((Daten!$B$2:$B$393='Material+Limits'!$P$18)*(ROW(Daten!$B$2:$B$393)-1),COUNTIF(Daten!$B$2:$B$393,'Material+Limits'!$P$18)+1-ROW(Daten!A25))),"")</f>
        <v/>
      </c>
      <c r="I88" s="4"/>
      <c r="J88" s="2" t="str">
        <f t="array" aca="1" ref="J88" ca="1">IFERROR(INDEX(Daten!$Z$2:$Z$393,LARGE((Daten!$B$2:$B$393='Material+Limits'!$P$18)*(ROW(Daten!$B$2:$B$393)-1),COUNTIF(Daten!$B$2:$B$393,'Material+Limits'!$P$18)+1-ROW(Daten!A25))),"")</f>
        <v/>
      </c>
      <c r="K88" s="16" t="str">
        <f t="array" aca="1" ref="K88" ca="1">IFERROR(INDEX(Daten!$AA$2:$AA$393,LARGE((Daten!$B$2:$B$393='Material+Limits'!$P$18)*(ROW(Daten!$B$2:$B$393)-1),COUNTIF(Daten!$B$2:$B$393,'Material+Limits'!$P$18)+1-ROW(Daten!A25))),"")</f>
        <v/>
      </c>
      <c r="L88" s="11" t="str">
        <f t="array" aca="1" ref="L88" ca="1">IFERROR(INDEX(Daten!$AC$2:$AC$393,LARGE((Daten!$B$2:$B$393='Material+Limits'!$P$18)*(ROW(Daten!$B$2:$B$393)-1),COUNTIF(Daten!$B$2:$B$393,'Material+Limits'!$P$18)+1-ROW(Daten!A25))),"")</f>
        <v/>
      </c>
      <c r="M88" s="16" t="str">
        <f t="array" aca="1" ref="M88" ca="1">IFERROR(INDEX(Daten!$AD$2:$AD$393,LARGE((Daten!$B$2:$B$393='Material+Limits'!$P$18)*(ROW(Daten!$B$2:$B$393)-1),COUNTIF(Daten!$B$2:$B$393,'Material+Limits'!$P$18)+1-ROW(Daten!A25))),"")</f>
        <v/>
      </c>
      <c r="N88" s="2" t="str">
        <f t="array" aca="1" ref="N88" ca="1">IFERROR(INDEX(Daten!$AI$2:$AI$393,LARGE((Daten!$B$2:$B$393='Material+Limits'!$P$18)*(ROW(Daten!$B$2:$B$393)-1),COUNTIF(Daten!$B$2:$B$393,'Material+Limits'!$P$18)+1-ROW(Daten!A25))),"")</f>
        <v/>
      </c>
      <c r="O88" s="20" t="str">
        <f t="array" aca="1" ref="O88" ca="1">IFERROR(INDEX(Daten!$AJ$2:$AJ$393,LARGE((Daten!$B$2:$B$393='Material+Limits'!$P$18)*(ROW(Daten!$B$2:$B$393)-1),COUNTIF(Daten!$B$2:$B$393,'Material+Limits'!$P$18)+1-ROW(Daten!A25))),"")</f>
        <v/>
      </c>
      <c r="P88" t="str">
        <f t="array" aca="1" ref="P88" ca="1">IFERROR(INDEX(Daten!$AM$2:$AM$393,LARGE((Daten!$B$2:$B$393='Material+Limits'!$P$18)*(ROW(Daten!$B$2:$B$393)-1),COUNTIF(Daten!$B$2:$B$393,'Material+Limits'!$P$18)+1-ROW(Daten!A25))),"")</f>
        <v/>
      </c>
      <c r="Q88" t="str">
        <f t="array" aca="1" ref="Q88" ca="1">IFERROR(INDEX(Daten!$AN$2:$AN$393,LARGE((Daten!$B$2:$B$393='Material+Limits'!$P$18)*(ROW(Daten!$B$2:$B$393)-1),COUNTIF(Daten!$B$2:$B$393,'Material+Limits'!$P$18)+1-ROW(Daten!A25))),"")</f>
        <v/>
      </c>
    </row>
    <row r="89" spans="2:17" x14ac:dyDescent="0.25">
      <c r="B89" s="19" t="str">
        <f t="array" aca="1" ref="B89" ca="1">IFERROR(INDEX(Daten!$T$2:$T$393,LARGE((Daten!$B$2:$B$393='Material+Limits'!$P$18)*(ROW(Daten!$B$2:$B$393)-1),COUNTIF(Daten!$B$2:$B$393,'Material+Limits'!$P$18)+1-ROW(Daten!A26))),"")</f>
        <v/>
      </c>
      <c r="C89" s="4"/>
      <c r="D89" s="2" t="str">
        <f t="array" aca="1" ref="D89" ca="1">IFERROR(INDEX(Daten!$AF$2:$AF$393,LARGE((Daten!$B$2:$B$393='Material+Limits'!$P$18)*(ROW(Daten!$B$2:$B$393)-1),COUNTIF(Daten!$B$2:$B$393,'Material+Limits'!$P$18)+1-ROW(Daten!A26))),"")</f>
        <v/>
      </c>
      <c r="E89" s="2" t="str">
        <f t="array" aca="1" ref="E89" ca="1">IFERROR(INDEX(Daten!$AE$2:$AE$393,LARGE((Daten!$B$2:$B$393='Material+Limits'!$P$18)*(ROW(Daten!$B$2:$B$393)-1),COUNTIF(Daten!$B$2:$B$393,'Material+Limits'!$P$18)+1-ROW(Daten!A26))),"")</f>
        <v/>
      </c>
      <c r="F89" s="2" t="str">
        <f t="array" aca="1" ref="F89" ca="1">IFERROR(INDEX(Daten!$AG$2:$AG$393,LARGE((Daten!$B$2:$B$393='Material+Limits'!$P$18)*(ROW(Daten!$B$2:$B$393)-1),COUNTIF(Daten!$B$2:$B$393,'Material+Limits'!$P$18)+1-ROW(Daten!A26))),"")</f>
        <v/>
      </c>
      <c r="G89" s="4"/>
      <c r="H89" s="2" t="str">
        <f t="array" aca="1" ref="H89" ca="1">IFERROR(INDEX(Daten!$AH$2:$AH$393,LARGE((Daten!$B$2:$B$393='Material+Limits'!$P$18)*(ROW(Daten!$B$2:$B$393)-1),COUNTIF(Daten!$B$2:$B$393,'Material+Limits'!$P$18)+1-ROW(Daten!A26))),"")</f>
        <v/>
      </c>
      <c r="I89" s="4"/>
      <c r="J89" s="2" t="str">
        <f t="array" aca="1" ref="J89" ca="1">IFERROR(INDEX(Daten!$Z$2:$Z$393,LARGE((Daten!$B$2:$B$393='Material+Limits'!$P$18)*(ROW(Daten!$B$2:$B$393)-1),COUNTIF(Daten!$B$2:$B$393,'Material+Limits'!$P$18)+1-ROW(Daten!A26))),"")</f>
        <v/>
      </c>
      <c r="K89" s="16" t="str">
        <f t="array" aca="1" ref="K89" ca="1">IFERROR(INDEX(Daten!$AA$2:$AA$393,LARGE((Daten!$B$2:$B$393='Material+Limits'!$P$18)*(ROW(Daten!$B$2:$B$393)-1),COUNTIF(Daten!$B$2:$B$393,'Material+Limits'!$P$18)+1-ROW(Daten!A26))),"")</f>
        <v/>
      </c>
      <c r="L89" s="11" t="str">
        <f t="array" aca="1" ref="L89" ca="1">IFERROR(INDEX(Daten!$AC$2:$AC$393,LARGE((Daten!$B$2:$B$393='Material+Limits'!$P$18)*(ROW(Daten!$B$2:$B$393)-1),COUNTIF(Daten!$B$2:$B$393,'Material+Limits'!$P$18)+1-ROW(Daten!A26))),"")</f>
        <v/>
      </c>
      <c r="M89" s="16" t="str">
        <f t="array" aca="1" ref="M89" ca="1">IFERROR(INDEX(Daten!$AD$2:$AD$393,LARGE((Daten!$B$2:$B$393='Material+Limits'!$P$18)*(ROW(Daten!$B$2:$B$393)-1),COUNTIF(Daten!$B$2:$B$393,'Material+Limits'!$P$18)+1-ROW(Daten!A26))),"")</f>
        <v/>
      </c>
      <c r="N89" s="2" t="str">
        <f t="array" aca="1" ref="N89" ca="1">IFERROR(INDEX(Daten!$AI$2:$AI$393,LARGE((Daten!$B$2:$B$393='Material+Limits'!$P$18)*(ROW(Daten!$B$2:$B$393)-1),COUNTIF(Daten!$B$2:$B$393,'Material+Limits'!$P$18)+1-ROW(Daten!A26))),"")</f>
        <v/>
      </c>
      <c r="O89" s="20" t="str">
        <f t="array" aca="1" ref="O89" ca="1">IFERROR(INDEX(Daten!$AJ$2:$AJ$393,LARGE((Daten!$B$2:$B$393='Material+Limits'!$P$18)*(ROW(Daten!$B$2:$B$393)-1),COUNTIF(Daten!$B$2:$B$393,'Material+Limits'!$P$18)+1-ROW(Daten!A26))),"")</f>
        <v/>
      </c>
      <c r="P89" t="str">
        <f t="array" aca="1" ref="P89" ca="1">IFERROR(INDEX(Daten!$AM$2:$AM$393,LARGE((Daten!$B$2:$B$393='Material+Limits'!$P$18)*(ROW(Daten!$B$2:$B$393)-1),COUNTIF(Daten!$B$2:$B$393,'Material+Limits'!$P$18)+1-ROW(Daten!A26))),"")</f>
        <v/>
      </c>
      <c r="Q89" t="str">
        <f t="array" aca="1" ref="Q89" ca="1">IFERROR(INDEX(Daten!$AN$2:$AN$393,LARGE((Daten!$B$2:$B$393='Material+Limits'!$P$18)*(ROW(Daten!$B$2:$B$393)-1),COUNTIF(Daten!$B$2:$B$393,'Material+Limits'!$P$18)+1-ROW(Daten!A26))),"")</f>
        <v/>
      </c>
    </row>
    <row r="90" spans="2:17" x14ac:dyDescent="0.25">
      <c r="B90" s="19" t="str">
        <f t="array" aca="1" ref="B90" ca="1">IFERROR(INDEX(Daten!$T$2:$T$393,LARGE((Daten!$B$2:$B$393='Material+Limits'!$P$18)*(ROW(Daten!$B$2:$B$393)-1),COUNTIF(Daten!$B$2:$B$393,'Material+Limits'!$P$18)+1-ROW(Daten!A27))),"")</f>
        <v/>
      </c>
      <c r="C90" s="4"/>
      <c r="D90" s="2" t="str">
        <f t="array" aca="1" ref="D90" ca="1">IFERROR(INDEX(Daten!$AF$2:$AF$393,LARGE((Daten!$B$2:$B$393='Material+Limits'!$P$18)*(ROW(Daten!$B$2:$B$393)-1),COUNTIF(Daten!$B$2:$B$393,'Material+Limits'!$P$18)+1-ROW(Daten!A27))),"")</f>
        <v/>
      </c>
      <c r="E90" s="2" t="str">
        <f t="array" aca="1" ref="E90" ca="1">IFERROR(INDEX(Daten!$AE$2:$AE$393,LARGE((Daten!$B$2:$B$393='Material+Limits'!$P$18)*(ROW(Daten!$B$2:$B$393)-1),COUNTIF(Daten!$B$2:$B$393,'Material+Limits'!$P$18)+1-ROW(Daten!A27))),"")</f>
        <v/>
      </c>
      <c r="F90" s="2" t="str">
        <f t="array" aca="1" ref="F90" ca="1">IFERROR(INDEX(Daten!$AG$2:$AG$393,LARGE((Daten!$B$2:$B$393='Material+Limits'!$P$18)*(ROW(Daten!$B$2:$B$393)-1),COUNTIF(Daten!$B$2:$B$393,'Material+Limits'!$P$18)+1-ROW(Daten!A27))),"")</f>
        <v/>
      </c>
      <c r="G90" s="4"/>
      <c r="H90" s="2" t="str">
        <f t="array" aca="1" ref="H90" ca="1">IFERROR(INDEX(Daten!$AH$2:$AH$393,LARGE((Daten!$B$2:$B$393='Material+Limits'!$P$18)*(ROW(Daten!$B$2:$B$393)-1),COUNTIF(Daten!$B$2:$B$393,'Material+Limits'!$P$18)+1-ROW(Daten!A27))),"")</f>
        <v/>
      </c>
      <c r="I90" s="4"/>
      <c r="J90" s="2" t="str">
        <f t="array" aca="1" ref="J90" ca="1">IFERROR(INDEX(Daten!$Z$2:$Z$393,LARGE((Daten!$B$2:$B$393='Material+Limits'!$P$18)*(ROW(Daten!$B$2:$B$393)-1),COUNTIF(Daten!$B$2:$B$393,'Material+Limits'!$P$18)+1-ROW(Daten!A27))),"")</f>
        <v/>
      </c>
      <c r="K90" s="16" t="str">
        <f t="array" aca="1" ref="K90" ca="1">IFERROR(INDEX(Daten!$AA$2:$AA$393,LARGE((Daten!$B$2:$B$393='Material+Limits'!$P$18)*(ROW(Daten!$B$2:$B$393)-1),COUNTIF(Daten!$B$2:$B$393,'Material+Limits'!$P$18)+1-ROW(Daten!A27))),"")</f>
        <v/>
      </c>
      <c r="L90" s="11" t="str">
        <f t="array" aca="1" ref="L90" ca="1">IFERROR(INDEX(Daten!$AC$2:$AC$393,LARGE((Daten!$B$2:$B$393='Material+Limits'!$P$18)*(ROW(Daten!$B$2:$B$393)-1),COUNTIF(Daten!$B$2:$B$393,'Material+Limits'!$P$18)+1-ROW(Daten!A27))),"")</f>
        <v/>
      </c>
      <c r="M90" s="16" t="str">
        <f t="array" aca="1" ref="M90" ca="1">IFERROR(INDEX(Daten!$AD$2:$AD$393,LARGE((Daten!$B$2:$B$393='Material+Limits'!$P$18)*(ROW(Daten!$B$2:$B$393)-1),COUNTIF(Daten!$B$2:$B$393,'Material+Limits'!$P$18)+1-ROW(Daten!A27))),"")</f>
        <v/>
      </c>
      <c r="N90" s="2" t="str">
        <f t="array" aca="1" ref="N90" ca="1">IFERROR(INDEX(Daten!$AI$2:$AI$393,LARGE((Daten!$B$2:$B$393='Material+Limits'!$P$18)*(ROW(Daten!$B$2:$B$393)-1),COUNTIF(Daten!$B$2:$B$393,'Material+Limits'!$P$18)+1-ROW(Daten!A27))),"")</f>
        <v/>
      </c>
      <c r="O90" s="20" t="str">
        <f t="array" aca="1" ref="O90" ca="1">IFERROR(INDEX(Daten!$AJ$2:$AJ$393,LARGE((Daten!$B$2:$B$393='Material+Limits'!$P$18)*(ROW(Daten!$B$2:$B$393)-1),COUNTIF(Daten!$B$2:$B$393,'Material+Limits'!$P$18)+1-ROW(Daten!A27))),"")</f>
        <v/>
      </c>
      <c r="P90" t="str">
        <f t="array" aca="1" ref="P90" ca="1">IFERROR(INDEX(Daten!$AM$2:$AM$393,LARGE((Daten!$B$2:$B$393='Material+Limits'!$P$18)*(ROW(Daten!$B$2:$B$393)-1),COUNTIF(Daten!$B$2:$B$393,'Material+Limits'!$P$18)+1-ROW(Daten!A27))),"")</f>
        <v/>
      </c>
      <c r="Q90" t="str">
        <f t="array" aca="1" ref="Q90" ca="1">IFERROR(INDEX(Daten!$AN$2:$AN$393,LARGE((Daten!$B$2:$B$393='Material+Limits'!$P$18)*(ROW(Daten!$B$2:$B$393)-1),COUNTIF(Daten!$B$2:$B$393,'Material+Limits'!$P$18)+1-ROW(Daten!A27))),"")</f>
        <v/>
      </c>
    </row>
    <row r="91" spans="2:17" x14ac:dyDescent="0.25">
      <c r="B91" s="19" t="str">
        <f t="array" aca="1" ref="B91" ca="1">IFERROR(INDEX(Daten!$T$2:$T$393,LARGE((Daten!$B$2:$B$393='Material+Limits'!$P$18)*(ROW(Daten!$B$2:$B$393)-1),COUNTIF(Daten!$B$2:$B$393,'Material+Limits'!$P$18)+1-ROW(Daten!A28))),"")</f>
        <v/>
      </c>
      <c r="C91" s="4"/>
      <c r="D91" s="2" t="str">
        <f t="array" aca="1" ref="D91" ca="1">IFERROR(INDEX(Daten!$AF$2:$AF$393,LARGE((Daten!$B$2:$B$393='Material+Limits'!$P$18)*(ROW(Daten!$B$2:$B$393)-1),COUNTIF(Daten!$B$2:$B$393,'Material+Limits'!$P$18)+1-ROW(Daten!A28))),"")</f>
        <v/>
      </c>
      <c r="E91" s="2" t="str">
        <f t="array" aca="1" ref="E91" ca="1">IFERROR(INDEX(Daten!$AE$2:$AE$393,LARGE((Daten!$B$2:$B$393='Material+Limits'!$P$18)*(ROW(Daten!$B$2:$B$393)-1),COUNTIF(Daten!$B$2:$B$393,'Material+Limits'!$P$18)+1-ROW(Daten!A28))),"")</f>
        <v/>
      </c>
      <c r="F91" s="2" t="str">
        <f t="array" aca="1" ref="F91" ca="1">IFERROR(INDEX(Daten!$AG$2:$AG$393,LARGE((Daten!$B$2:$B$393='Material+Limits'!$P$18)*(ROW(Daten!$B$2:$B$393)-1),COUNTIF(Daten!$B$2:$B$393,'Material+Limits'!$P$18)+1-ROW(Daten!A28))),"")</f>
        <v/>
      </c>
      <c r="G91" s="4"/>
      <c r="H91" s="2" t="str">
        <f t="array" aca="1" ref="H91" ca="1">IFERROR(INDEX(Daten!$AH$2:$AH$393,LARGE((Daten!$B$2:$B$393='Material+Limits'!$P$18)*(ROW(Daten!$B$2:$B$393)-1),COUNTIF(Daten!$B$2:$B$393,'Material+Limits'!$P$18)+1-ROW(Daten!A28))),"")</f>
        <v/>
      </c>
      <c r="I91" s="4"/>
      <c r="J91" s="2" t="str">
        <f t="array" aca="1" ref="J91" ca="1">IFERROR(INDEX(Daten!$Z$2:$Z$393,LARGE((Daten!$B$2:$B$393='Material+Limits'!$P$18)*(ROW(Daten!$B$2:$B$393)-1),COUNTIF(Daten!$B$2:$B$393,'Material+Limits'!$P$18)+1-ROW(Daten!A28))),"")</f>
        <v/>
      </c>
      <c r="K91" s="16" t="str">
        <f t="array" aca="1" ref="K91" ca="1">IFERROR(INDEX(Daten!$AA$2:$AA$393,LARGE((Daten!$B$2:$B$393='Material+Limits'!$P$18)*(ROW(Daten!$B$2:$B$393)-1),COUNTIF(Daten!$B$2:$B$393,'Material+Limits'!$P$18)+1-ROW(Daten!A28))),"")</f>
        <v/>
      </c>
      <c r="L91" s="11" t="str">
        <f t="array" aca="1" ref="L91" ca="1">IFERROR(INDEX(Daten!$AC$2:$AC$393,LARGE((Daten!$B$2:$B$393='Material+Limits'!$P$18)*(ROW(Daten!$B$2:$B$393)-1),COUNTIF(Daten!$B$2:$B$393,'Material+Limits'!$P$18)+1-ROW(Daten!A28))),"")</f>
        <v/>
      </c>
      <c r="M91" s="16" t="str">
        <f t="array" aca="1" ref="M91" ca="1">IFERROR(INDEX(Daten!$AD$2:$AD$393,LARGE((Daten!$B$2:$B$393='Material+Limits'!$P$18)*(ROW(Daten!$B$2:$B$393)-1),COUNTIF(Daten!$B$2:$B$393,'Material+Limits'!$P$18)+1-ROW(Daten!A28))),"")</f>
        <v/>
      </c>
      <c r="N91" s="2" t="str">
        <f t="array" aca="1" ref="N91" ca="1">IFERROR(INDEX(Daten!$AI$2:$AI$393,LARGE((Daten!$B$2:$B$393='Material+Limits'!$P$18)*(ROW(Daten!$B$2:$B$393)-1),COUNTIF(Daten!$B$2:$B$393,'Material+Limits'!$P$18)+1-ROW(Daten!A28))),"")</f>
        <v/>
      </c>
      <c r="O91" s="20" t="str">
        <f t="array" aca="1" ref="O91" ca="1">IFERROR(INDEX(Daten!$AJ$2:$AJ$393,LARGE((Daten!$B$2:$B$393='Material+Limits'!$P$18)*(ROW(Daten!$B$2:$B$393)-1),COUNTIF(Daten!$B$2:$B$393,'Material+Limits'!$P$18)+1-ROW(Daten!A28))),"")</f>
        <v/>
      </c>
      <c r="P91" t="str">
        <f t="array" aca="1" ref="P91" ca="1">IFERROR(INDEX(Daten!$AM$2:$AM$393,LARGE((Daten!$B$2:$B$393='Material+Limits'!$P$18)*(ROW(Daten!$B$2:$B$393)-1),COUNTIF(Daten!$B$2:$B$393,'Material+Limits'!$P$18)+1-ROW(Daten!A28))),"")</f>
        <v/>
      </c>
      <c r="Q91" t="str">
        <f t="array" aca="1" ref="Q91" ca="1">IFERROR(INDEX(Daten!$AN$2:$AN$393,LARGE((Daten!$B$2:$B$393='Material+Limits'!$P$18)*(ROW(Daten!$B$2:$B$393)-1),COUNTIF(Daten!$B$2:$B$393,'Material+Limits'!$P$18)+1-ROW(Daten!A28))),"")</f>
        <v/>
      </c>
    </row>
    <row r="92" spans="2:17" x14ac:dyDescent="0.25">
      <c r="B92" s="19" t="str">
        <f t="array" aca="1" ref="B92" ca="1">IFERROR(INDEX(Daten!$T$2:$T$393,LARGE((Daten!$B$2:$B$393='Material+Limits'!$P$18)*(ROW(Daten!$B$2:$B$393)-1),COUNTIF(Daten!$B$2:$B$393,'Material+Limits'!$P$18)+1-ROW(Daten!A29))),"")</f>
        <v/>
      </c>
      <c r="C92" s="4"/>
      <c r="D92" s="2" t="str">
        <f t="array" aca="1" ref="D92" ca="1">IFERROR(INDEX(Daten!$AF$2:$AF$393,LARGE((Daten!$B$2:$B$393='Material+Limits'!$P$18)*(ROW(Daten!$B$2:$B$393)-1),COUNTIF(Daten!$B$2:$B$393,'Material+Limits'!$P$18)+1-ROW(Daten!A29))),"")</f>
        <v/>
      </c>
      <c r="E92" s="2" t="str">
        <f t="array" aca="1" ref="E92" ca="1">IFERROR(INDEX(Daten!$AE$2:$AE$393,LARGE((Daten!$B$2:$B$393='Material+Limits'!$P$18)*(ROW(Daten!$B$2:$B$393)-1),COUNTIF(Daten!$B$2:$B$393,'Material+Limits'!$P$18)+1-ROW(Daten!A29))),"")</f>
        <v/>
      </c>
      <c r="F92" s="2" t="str">
        <f t="array" aca="1" ref="F92" ca="1">IFERROR(INDEX(Daten!$AG$2:$AG$393,LARGE((Daten!$B$2:$B$393='Material+Limits'!$P$18)*(ROW(Daten!$B$2:$B$393)-1),COUNTIF(Daten!$B$2:$B$393,'Material+Limits'!$P$18)+1-ROW(Daten!A29))),"")</f>
        <v/>
      </c>
      <c r="G92" s="4"/>
      <c r="H92" s="2" t="str">
        <f t="array" aca="1" ref="H92" ca="1">IFERROR(INDEX(Daten!$AH$2:$AH$393,LARGE((Daten!$B$2:$B$393='Material+Limits'!$P$18)*(ROW(Daten!$B$2:$B$393)-1),COUNTIF(Daten!$B$2:$B$393,'Material+Limits'!$P$18)+1-ROW(Daten!A29))),"")</f>
        <v/>
      </c>
      <c r="I92" s="4"/>
      <c r="J92" s="2" t="str">
        <f t="array" aca="1" ref="J92" ca="1">IFERROR(INDEX(Daten!$Z$2:$Z$393,LARGE((Daten!$B$2:$B$393='Material+Limits'!$P$18)*(ROW(Daten!$B$2:$B$393)-1),COUNTIF(Daten!$B$2:$B$393,'Material+Limits'!$P$18)+1-ROW(Daten!A29))),"")</f>
        <v/>
      </c>
      <c r="K92" s="16" t="str">
        <f t="array" aca="1" ref="K92" ca="1">IFERROR(INDEX(Daten!$AA$2:$AA$393,LARGE((Daten!$B$2:$B$393='Material+Limits'!$P$18)*(ROW(Daten!$B$2:$B$393)-1),COUNTIF(Daten!$B$2:$B$393,'Material+Limits'!$P$18)+1-ROW(Daten!A29))),"")</f>
        <v/>
      </c>
      <c r="L92" s="11" t="str">
        <f t="array" aca="1" ref="L92" ca="1">IFERROR(INDEX(Daten!$AC$2:$AC$393,LARGE((Daten!$B$2:$B$393='Material+Limits'!$P$18)*(ROW(Daten!$B$2:$B$393)-1),COUNTIF(Daten!$B$2:$B$393,'Material+Limits'!$P$18)+1-ROW(Daten!A29))),"")</f>
        <v/>
      </c>
      <c r="M92" s="16" t="str">
        <f t="array" aca="1" ref="M92" ca="1">IFERROR(INDEX(Daten!$AD$2:$AD$393,LARGE((Daten!$B$2:$B$393='Material+Limits'!$P$18)*(ROW(Daten!$B$2:$B$393)-1),COUNTIF(Daten!$B$2:$B$393,'Material+Limits'!$P$18)+1-ROW(Daten!A29))),"")</f>
        <v/>
      </c>
      <c r="N92" s="2" t="str">
        <f t="array" aca="1" ref="N92" ca="1">IFERROR(INDEX(Daten!$AI$2:$AI$393,LARGE((Daten!$B$2:$B$393='Material+Limits'!$P$18)*(ROW(Daten!$B$2:$B$393)-1),COUNTIF(Daten!$B$2:$B$393,'Material+Limits'!$P$18)+1-ROW(Daten!A29))),"")</f>
        <v/>
      </c>
      <c r="O92" s="20" t="str">
        <f t="array" aca="1" ref="O92" ca="1">IFERROR(INDEX(Daten!$AJ$2:$AJ$393,LARGE((Daten!$B$2:$B$393='Material+Limits'!$P$18)*(ROW(Daten!$B$2:$B$393)-1),COUNTIF(Daten!$B$2:$B$393,'Material+Limits'!$P$18)+1-ROW(Daten!A29))),"")</f>
        <v/>
      </c>
      <c r="P92" t="str">
        <f t="array" aca="1" ref="P92" ca="1">IFERROR(INDEX(Daten!$AM$2:$AM$393,LARGE((Daten!$B$2:$B$393='Material+Limits'!$P$18)*(ROW(Daten!$B$2:$B$393)-1),COUNTIF(Daten!$B$2:$B$393,'Material+Limits'!$P$18)+1-ROW(Daten!A29))),"")</f>
        <v/>
      </c>
      <c r="Q92" t="str">
        <f t="array" aca="1" ref="Q92" ca="1">IFERROR(INDEX(Daten!$AN$2:$AN$393,LARGE((Daten!$B$2:$B$393='Material+Limits'!$P$18)*(ROW(Daten!$B$2:$B$393)-1),COUNTIF(Daten!$B$2:$B$393,'Material+Limits'!$P$18)+1-ROW(Daten!A29))),"")</f>
        <v/>
      </c>
    </row>
    <row r="93" spans="2:17" x14ac:dyDescent="0.25">
      <c r="B93" s="19" t="str">
        <f t="array" aca="1" ref="B93" ca="1">IFERROR(INDEX(Daten!$T$2:$T$393,LARGE((Daten!$B$2:$B$393='Material+Limits'!$P$18)*(ROW(Daten!$B$2:$B$393)-1),COUNTIF(Daten!$B$2:$B$393,'Material+Limits'!$P$18)+1-ROW(Daten!A30))),"")</f>
        <v/>
      </c>
      <c r="C93" s="4"/>
      <c r="D93" s="2" t="str">
        <f t="array" aca="1" ref="D93" ca="1">IFERROR(INDEX(Daten!$AF$2:$AF$393,LARGE((Daten!$B$2:$B$393='Material+Limits'!$P$18)*(ROW(Daten!$B$2:$B$393)-1),COUNTIF(Daten!$B$2:$B$393,'Material+Limits'!$P$18)+1-ROW(Daten!A30))),"")</f>
        <v/>
      </c>
      <c r="E93" s="2" t="str">
        <f t="array" aca="1" ref="E93" ca="1">IFERROR(INDEX(Daten!$AE$2:$AE$393,LARGE((Daten!$B$2:$B$393='Material+Limits'!$P$18)*(ROW(Daten!$B$2:$B$393)-1),COUNTIF(Daten!$B$2:$B$393,'Material+Limits'!$P$18)+1-ROW(Daten!A30))),"")</f>
        <v/>
      </c>
      <c r="F93" s="2" t="str">
        <f t="array" aca="1" ref="F93" ca="1">IFERROR(INDEX(Daten!$AG$2:$AG$393,LARGE((Daten!$B$2:$B$393='Material+Limits'!$P$18)*(ROW(Daten!$B$2:$B$393)-1),COUNTIF(Daten!$B$2:$B$393,'Material+Limits'!$P$18)+1-ROW(Daten!A30))),"")</f>
        <v/>
      </c>
      <c r="G93" s="4"/>
      <c r="H93" s="2" t="str">
        <f t="array" aca="1" ref="H93" ca="1">IFERROR(INDEX(Daten!$AH$2:$AH$393,LARGE((Daten!$B$2:$B$393='Material+Limits'!$P$18)*(ROW(Daten!$B$2:$B$393)-1),COUNTIF(Daten!$B$2:$B$393,'Material+Limits'!$P$18)+1-ROW(Daten!A30))),"")</f>
        <v/>
      </c>
      <c r="I93" s="4"/>
      <c r="J93" s="2" t="str">
        <f t="array" aca="1" ref="J93" ca="1">IFERROR(INDEX(Daten!$Z$2:$Z$393,LARGE((Daten!$B$2:$B$393='Material+Limits'!$P$18)*(ROW(Daten!$B$2:$B$393)-1),COUNTIF(Daten!$B$2:$B$393,'Material+Limits'!$P$18)+1-ROW(Daten!A30))),"")</f>
        <v/>
      </c>
      <c r="K93" s="16" t="str">
        <f t="array" aca="1" ref="K93" ca="1">IFERROR(INDEX(Daten!$AA$2:$AA$393,LARGE((Daten!$B$2:$B$393='Material+Limits'!$P$18)*(ROW(Daten!$B$2:$B$393)-1),COUNTIF(Daten!$B$2:$B$393,'Material+Limits'!$P$18)+1-ROW(Daten!A30))),"")</f>
        <v/>
      </c>
      <c r="L93" s="11" t="str">
        <f t="array" aca="1" ref="L93" ca="1">IFERROR(INDEX(Daten!$AC$2:$AC$393,LARGE((Daten!$B$2:$B$393='Material+Limits'!$P$18)*(ROW(Daten!$B$2:$B$393)-1),COUNTIF(Daten!$B$2:$B$393,'Material+Limits'!$P$18)+1-ROW(Daten!A30))),"")</f>
        <v/>
      </c>
      <c r="M93" s="16" t="str">
        <f t="array" aca="1" ref="M93" ca="1">IFERROR(INDEX(Daten!$AD$2:$AD$393,LARGE((Daten!$B$2:$B$393='Material+Limits'!$P$18)*(ROW(Daten!$B$2:$B$393)-1),COUNTIF(Daten!$B$2:$B$393,'Material+Limits'!$P$18)+1-ROW(Daten!A30))),"")</f>
        <v/>
      </c>
      <c r="N93" s="2" t="str">
        <f t="array" aca="1" ref="N93" ca="1">IFERROR(INDEX(Daten!$AI$2:$AI$393,LARGE((Daten!$B$2:$B$393='Material+Limits'!$P$18)*(ROW(Daten!$B$2:$B$393)-1),COUNTIF(Daten!$B$2:$B$393,'Material+Limits'!$P$18)+1-ROW(Daten!A30))),"")</f>
        <v/>
      </c>
      <c r="O93" s="20" t="str">
        <f t="array" aca="1" ref="O93" ca="1">IFERROR(INDEX(Daten!$AJ$2:$AJ$393,LARGE((Daten!$B$2:$B$393='Material+Limits'!$P$18)*(ROW(Daten!$B$2:$B$393)-1),COUNTIF(Daten!$B$2:$B$393,'Material+Limits'!$P$18)+1-ROW(Daten!A30))),"")</f>
        <v/>
      </c>
      <c r="P93" t="str">
        <f t="array" aca="1" ref="P93" ca="1">IFERROR(INDEX(Daten!$AM$2:$AM$393,LARGE((Daten!$B$2:$B$393='Material+Limits'!$P$18)*(ROW(Daten!$B$2:$B$393)-1),COUNTIF(Daten!$B$2:$B$393,'Material+Limits'!$P$18)+1-ROW(Daten!A30))),"")</f>
        <v/>
      </c>
      <c r="Q93" t="str">
        <f t="array" aca="1" ref="Q93" ca="1">IFERROR(INDEX(Daten!$AN$2:$AN$393,LARGE((Daten!$B$2:$B$393='Material+Limits'!$P$18)*(ROW(Daten!$B$2:$B$393)-1),COUNTIF(Daten!$B$2:$B$393,'Material+Limits'!$P$18)+1-ROW(Daten!A30))),"")</f>
        <v/>
      </c>
    </row>
    <row r="94" spans="2:17" x14ac:dyDescent="0.25">
      <c r="B94" s="19" t="str">
        <f t="array" aca="1" ref="B94" ca="1">IFERROR(INDEX(Daten!$T$2:$T$393,LARGE((Daten!$B$2:$B$393='Material+Limits'!$P$18)*(ROW(Daten!$B$2:$B$393)-1),COUNTIF(Daten!$B$2:$B$393,'Material+Limits'!$P$18)+1-ROW(Daten!A31))),"")</f>
        <v/>
      </c>
      <c r="C94" s="4"/>
      <c r="D94" s="2" t="str">
        <f t="array" aca="1" ref="D94" ca="1">IFERROR(INDEX(Daten!$AF$2:$AF$393,LARGE((Daten!$B$2:$B$393='Material+Limits'!$P$18)*(ROW(Daten!$B$2:$B$393)-1),COUNTIF(Daten!$B$2:$B$393,'Material+Limits'!$P$18)+1-ROW(Daten!A31))),"")</f>
        <v/>
      </c>
      <c r="E94" s="2" t="str">
        <f t="array" aca="1" ref="E94" ca="1">IFERROR(INDEX(Daten!$AE$2:$AE$393,LARGE((Daten!$B$2:$B$393='Material+Limits'!$P$18)*(ROW(Daten!$B$2:$B$393)-1),COUNTIF(Daten!$B$2:$B$393,'Material+Limits'!$P$18)+1-ROW(Daten!A31))),"")</f>
        <v/>
      </c>
      <c r="F94" s="2" t="str">
        <f t="array" aca="1" ref="F94" ca="1">IFERROR(INDEX(Daten!$AG$2:$AG$393,LARGE((Daten!$B$2:$B$393='Material+Limits'!$P$18)*(ROW(Daten!$B$2:$B$393)-1),COUNTIF(Daten!$B$2:$B$393,'Material+Limits'!$P$18)+1-ROW(Daten!A31))),"")</f>
        <v/>
      </c>
      <c r="G94" s="4"/>
      <c r="H94" s="2" t="str">
        <f t="array" aca="1" ref="H94" ca="1">IFERROR(INDEX(Daten!$AH$2:$AH$393,LARGE((Daten!$B$2:$B$393='Material+Limits'!$P$18)*(ROW(Daten!$B$2:$B$393)-1),COUNTIF(Daten!$B$2:$B$393,'Material+Limits'!$P$18)+1-ROW(Daten!A31))),"")</f>
        <v/>
      </c>
      <c r="I94" s="4"/>
      <c r="J94" s="2" t="str">
        <f t="array" aca="1" ref="J94" ca="1">IFERROR(INDEX(Daten!$Z$2:$Z$393,LARGE((Daten!$B$2:$B$393='Material+Limits'!$P$18)*(ROW(Daten!$B$2:$B$393)-1),COUNTIF(Daten!$B$2:$B$393,'Material+Limits'!$P$18)+1-ROW(Daten!A31))),"")</f>
        <v/>
      </c>
      <c r="K94" s="16" t="str">
        <f t="array" aca="1" ref="K94" ca="1">IFERROR(INDEX(Daten!$AA$2:$AA$393,LARGE((Daten!$B$2:$B$393='Material+Limits'!$P$18)*(ROW(Daten!$B$2:$B$393)-1),COUNTIF(Daten!$B$2:$B$393,'Material+Limits'!$P$18)+1-ROW(Daten!A31))),"")</f>
        <v/>
      </c>
      <c r="L94" s="11" t="str">
        <f t="array" aca="1" ref="L94" ca="1">IFERROR(INDEX(Daten!$AC$2:$AC$393,LARGE((Daten!$B$2:$B$393='Material+Limits'!$P$18)*(ROW(Daten!$B$2:$B$393)-1),COUNTIF(Daten!$B$2:$B$393,'Material+Limits'!$P$18)+1-ROW(Daten!A31))),"")</f>
        <v/>
      </c>
      <c r="M94" s="16" t="str">
        <f t="array" aca="1" ref="M94" ca="1">IFERROR(INDEX(Daten!$AD$2:$AD$393,LARGE((Daten!$B$2:$B$393='Material+Limits'!$P$18)*(ROW(Daten!$B$2:$B$393)-1),COUNTIF(Daten!$B$2:$B$393,'Material+Limits'!$P$18)+1-ROW(Daten!A31))),"")</f>
        <v/>
      </c>
      <c r="N94" s="2" t="str">
        <f t="array" aca="1" ref="N94" ca="1">IFERROR(INDEX(Daten!$AI$2:$AI$393,LARGE((Daten!$B$2:$B$393='Material+Limits'!$P$18)*(ROW(Daten!$B$2:$B$393)-1),COUNTIF(Daten!$B$2:$B$393,'Material+Limits'!$P$18)+1-ROW(Daten!A31))),"")</f>
        <v/>
      </c>
      <c r="O94" s="20" t="str">
        <f t="array" aca="1" ref="O94" ca="1">IFERROR(INDEX(Daten!$AJ$2:$AJ$393,LARGE((Daten!$B$2:$B$393='Material+Limits'!$P$18)*(ROW(Daten!$B$2:$B$393)-1),COUNTIF(Daten!$B$2:$B$393,'Material+Limits'!$P$18)+1-ROW(Daten!A31))),"")</f>
        <v/>
      </c>
      <c r="P94" t="str">
        <f t="array" aca="1" ref="P94" ca="1">IFERROR(INDEX(Daten!$AM$2:$AM$393,LARGE((Daten!$B$2:$B$393='Material+Limits'!$P$18)*(ROW(Daten!$B$2:$B$393)-1),COUNTIF(Daten!$B$2:$B$393,'Material+Limits'!$P$18)+1-ROW(Daten!A31))),"")</f>
        <v/>
      </c>
      <c r="Q94" t="str">
        <f t="array" aca="1" ref="Q94" ca="1">IFERROR(INDEX(Daten!$AN$2:$AN$393,LARGE((Daten!$B$2:$B$393='Material+Limits'!$P$18)*(ROW(Daten!$B$2:$B$393)-1),COUNTIF(Daten!$B$2:$B$393,'Material+Limits'!$P$18)+1-ROW(Daten!A31))),"")</f>
        <v/>
      </c>
    </row>
    <row r="95" spans="2:17" x14ac:dyDescent="0.25">
      <c r="B95" s="19" t="str">
        <f t="array" aca="1" ref="B95" ca="1">IFERROR(INDEX(Daten!$T$2:$T$393,LARGE((Daten!$B$2:$B$393='Material+Limits'!$P$18)*(ROW(Daten!$B$2:$B$393)-1),COUNTIF(Daten!$B$2:$B$393,'Material+Limits'!$P$18)+1-ROW(Daten!A32))),"")</f>
        <v/>
      </c>
      <c r="C95" s="4"/>
      <c r="D95" s="2" t="str">
        <f t="array" aca="1" ref="D95" ca="1">IFERROR(INDEX(Daten!$AF$2:$AF$393,LARGE((Daten!$B$2:$B$393='Material+Limits'!$P$18)*(ROW(Daten!$B$2:$B$393)-1),COUNTIF(Daten!$B$2:$B$393,'Material+Limits'!$P$18)+1-ROW(Daten!A32))),"")</f>
        <v/>
      </c>
      <c r="E95" s="2" t="str">
        <f t="array" aca="1" ref="E95" ca="1">IFERROR(INDEX(Daten!$AE$2:$AE$393,LARGE((Daten!$B$2:$B$393='Material+Limits'!$P$18)*(ROW(Daten!$B$2:$B$393)-1),COUNTIF(Daten!$B$2:$B$393,'Material+Limits'!$P$18)+1-ROW(Daten!A32))),"")</f>
        <v/>
      </c>
      <c r="F95" s="2" t="str">
        <f t="array" aca="1" ref="F95" ca="1">IFERROR(INDEX(Daten!$AG$2:$AG$393,LARGE((Daten!$B$2:$B$393='Material+Limits'!$P$18)*(ROW(Daten!$B$2:$B$393)-1),COUNTIF(Daten!$B$2:$B$393,'Material+Limits'!$P$18)+1-ROW(Daten!A32))),"")</f>
        <v/>
      </c>
      <c r="G95" s="4"/>
      <c r="H95" s="2" t="str">
        <f t="array" aca="1" ref="H95" ca="1">IFERROR(INDEX(Daten!$AH$2:$AH$393,LARGE((Daten!$B$2:$B$393='Material+Limits'!$P$18)*(ROW(Daten!$B$2:$B$393)-1),COUNTIF(Daten!$B$2:$B$393,'Material+Limits'!$P$18)+1-ROW(Daten!A32))),"")</f>
        <v/>
      </c>
      <c r="I95" s="4"/>
      <c r="J95" s="2" t="str">
        <f t="array" aca="1" ref="J95" ca="1">IFERROR(INDEX(Daten!$Z$2:$Z$393,LARGE((Daten!$B$2:$B$393='Material+Limits'!$P$18)*(ROW(Daten!$B$2:$B$393)-1),COUNTIF(Daten!$B$2:$B$393,'Material+Limits'!$P$18)+1-ROW(Daten!A32))),"")</f>
        <v/>
      </c>
      <c r="K95" s="16" t="str">
        <f t="array" aca="1" ref="K95" ca="1">IFERROR(INDEX(Daten!$AA$2:$AA$393,LARGE((Daten!$B$2:$B$393='Material+Limits'!$P$18)*(ROW(Daten!$B$2:$B$393)-1),COUNTIF(Daten!$B$2:$B$393,'Material+Limits'!$P$18)+1-ROW(Daten!A32))),"")</f>
        <v/>
      </c>
      <c r="L95" s="11" t="str">
        <f t="array" aca="1" ref="L95" ca="1">IFERROR(INDEX(Daten!$AC$2:$AC$393,LARGE((Daten!$B$2:$B$393='Material+Limits'!$P$18)*(ROW(Daten!$B$2:$B$393)-1),COUNTIF(Daten!$B$2:$B$393,'Material+Limits'!$P$18)+1-ROW(Daten!A32))),"")</f>
        <v/>
      </c>
      <c r="M95" s="16" t="str">
        <f t="array" aca="1" ref="M95" ca="1">IFERROR(INDEX(Daten!$AD$2:$AD$393,LARGE((Daten!$B$2:$B$393='Material+Limits'!$P$18)*(ROW(Daten!$B$2:$B$393)-1),COUNTIF(Daten!$B$2:$B$393,'Material+Limits'!$P$18)+1-ROW(Daten!A32))),"")</f>
        <v/>
      </c>
      <c r="N95" s="2" t="str">
        <f t="array" aca="1" ref="N95" ca="1">IFERROR(INDEX(Daten!$AI$2:$AI$393,LARGE((Daten!$B$2:$B$393='Material+Limits'!$P$18)*(ROW(Daten!$B$2:$B$393)-1),COUNTIF(Daten!$B$2:$B$393,'Material+Limits'!$P$18)+1-ROW(Daten!A32))),"")</f>
        <v/>
      </c>
      <c r="O95" s="20" t="str">
        <f t="array" aca="1" ref="O95" ca="1">IFERROR(INDEX(Daten!$AJ$2:$AJ$393,LARGE((Daten!$B$2:$B$393='Material+Limits'!$P$18)*(ROW(Daten!$B$2:$B$393)-1),COUNTIF(Daten!$B$2:$B$393,'Material+Limits'!$P$18)+1-ROW(Daten!A32))),"")</f>
        <v/>
      </c>
      <c r="P95" t="str">
        <f t="array" aca="1" ref="P95" ca="1">IFERROR(INDEX(Daten!$AM$2:$AM$393,LARGE((Daten!$B$2:$B$393='Material+Limits'!$P$18)*(ROW(Daten!$B$2:$B$393)-1),COUNTIF(Daten!$B$2:$B$393,'Material+Limits'!$P$18)+1-ROW(Daten!A32))),"")</f>
        <v/>
      </c>
      <c r="Q95" t="str">
        <f t="array" aca="1" ref="Q95" ca="1">IFERROR(INDEX(Daten!$AN$2:$AN$393,LARGE((Daten!$B$2:$B$393='Material+Limits'!$P$18)*(ROW(Daten!$B$2:$B$393)-1),COUNTIF(Daten!$B$2:$B$393,'Material+Limits'!$P$18)+1-ROW(Daten!A32))),"")</f>
        <v/>
      </c>
    </row>
    <row r="96" spans="2:17" x14ac:dyDescent="0.25">
      <c r="B96" s="19" t="str">
        <f t="array" aca="1" ref="B96" ca="1">IFERROR(INDEX(Daten!$T$2:$T$393,LARGE((Daten!$B$2:$B$393='Material+Limits'!$P$18)*(ROW(Daten!$B$2:$B$393)-1),COUNTIF(Daten!$B$2:$B$393,'Material+Limits'!$P$18)+1-ROW(Daten!A33))),"")</f>
        <v/>
      </c>
      <c r="C96" s="4"/>
      <c r="D96" s="2" t="str">
        <f t="array" aca="1" ref="D96" ca="1">IFERROR(INDEX(Daten!$AF$2:$AF$393,LARGE((Daten!$B$2:$B$393='Material+Limits'!$P$18)*(ROW(Daten!$B$2:$B$393)-1),COUNTIF(Daten!$B$2:$B$393,'Material+Limits'!$P$18)+1-ROW(Daten!A33))),"")</f>
        <v/>
      </c>
      <c r="E96" s="2" t="str">
        <f t="array" aca="1" ref="E96" ca="1">IFERROR(INDEX(Daten!$AE$2:$AE$393,LARGE((Daten!$B$2:$B$393='Material+Limits'!$P$18)*(ROW(Daten!$B$2:$B$393)-1),COUNTIF(Daten!$B$2:$B$393,'Material+Limits'!$P$18)+1-ROW(Daten!A33))),"")</f>
        <v/>
      </c>
      <c r="F96" s="2" t="str">
        <f t="array" aca="1" ref="F96" ca="1">IFERROR(INDEX(Daten!$AG$2:$AG$393,LARGE((Daten!$B$2:$B$393='Material+Limits'!$P$18)*(ROW(Daten!$B$2:$B$393)-1),COUNTIF(Daten!$B$2:$B$393,'Material+Limits'!$P$18)+1-ROW(Daten!A33))),"")</f>
        <v/>
      </c>
      <c r="G96" s="4"/>
      <c r="H96" s="2" t="str">
        <f t="array" aca="1" ref="H96" ca="1">IFERROR(INDEX(Daten!$AH$2:$AH$393,LARGE((Daten!$B$2:$B$393='Material+Limits'!$P$18)*(ROW(Daten!$B$2:$B$393)-1),COUNTIF(Daten!$B$2:$B$393,'Material+Limits'!$P$18)+1-ROW(Daten!A33))),"")</f>
        <v/>
      </c>
      <c r="I96" s="4"/>
      <c r="J96" s="2" t="str">
        <f t="array" aca="1" ref="J96" ca="1">IFERROR(INDEX(Daten!$Z$2:$Z$393,LARGE((Daten!$B$2:$B$393='Material+Limits'!$P$18)*(ROW(Daten!$B$2:$B$393)-1),COUNTIF(Daten!$B$2:$B$393,'Material+Limits'!$P$18)+1-ROW(Daten!A33))),"")</f>
        <v/>
      </c>
      <c r="K96" s="16" t="str">
        <f t="array" aca="1" ref="K96" ca="1">IFERROR(INDEX(Daten!$AA$2:$AA$393,LARGE((Daten!$B$2:$B$393='Material+Limits'!$P$18)*(ROW(Daten!$B$2:$B$393)-1),COUNTIF(Daten!$B$2:$B$393,'Material+Limits'!$P$18)+1-ROW(Daten!A33))),"")</f>
        <v/>
      </c>
      <c r="L96" s="11" t="str">
        <f t="array" aca="1" ref="L96" ca="1">IFERROR(INDEX(Daten!$AC$2:$AC$393,LARGE((Daten!$B$2:$B$393='Material+Limits'!$P$18)*(ROW(Daten!$B$2:$B$393)-1),COUNTIF(Daten!$B$2:$B$393,'Material+Limits'!$P$18)+1-ROW(Daten!A33))),"")</f>
        <v/>
      </c>
      <c r="M96" s="16" t="str">
        <f t="array" aca="1" ref="M96" ca="1">IFERROR(INDEX(Daten!$AD$2:$AD$393,LARGE((Daten!$B$2:$B$393='Material+Limits'!$P$18)*(ROW(Daten!$B$2:$B$393)-1),COUNTIF(Daten!$B$2:$B$393,'Material+Limits'!$P$18)+1-ROW(Daten!A33))),"")</f>
        <v/>
      </c>
      <c r="N96" s="2" t="str">
        <f t="array" aca="1" ref="N96" ca="1">IFERROR(INDEX(Daten!$AI$2:$AI$393,LARGE((Daten!$B$2:$B$393='Material+Limits'!$P$18)*(ROW(Daten!$B$2:$B$393)-1),COUNTIF(Daten!$B$2:$B$393,'Material+Limits'!$P$18)+1-ROW(Daten!A33))),"")</f>
        <v/>
      </c>
      <c r="O96" s="20" t="str">
        <f t="array" aca="1" ref="O96" ca="1">IFERROR(INDEX(Daten!$AJ$2:$AJ$393,LARGE((Daten!$B$2:$B$393='Material+Limits'!$P$18)*(ROW(Daten!$B$2:$B$393)-1),COUNTIF(Daten!$B$2:$B$393,'Material+Limits'!$P$18)+1-ROW(Daten!A33))),"")</f>
        <v/>
      </c>
      <c r="P96" t="str">
        <f t="array" aca="1" ref="P96" ca="1">IFERROR(INDEX(Daten!$AM$2:$AM$393,LARGE((Daten!$B$2:$B$393='Material+Limits'!$P$18)*(ROW(Daten!$B$2:$B$393)-1),COUNTIF(Daten!$B$2:$B$393,'Material+Limits'!$P$18)+1-ROW(Daten!A33))),"")</f>
        <v/>
      </c>
      <c r="Q96" t="str">
        <f t="array" aca="1" ref="Q96" ca="1">IFERROR(INDEX(Daten!$AN$2:$AN$393,LARGE((Daten!$B$2:$B$393='Material+Limits'!$P$18)*(ROW(Daten!$B$2:$B$393)-1),COUNTIF(Daten!$B$2:$B$393,'Material+Limits'!$P$18)+1-ROW(Daten!A33))),"")</f>
        <v/>
      </c>
    </row>
    <row r="97" spans="1:19" x14ac:dyDescent="0.25">
      <c r="B97" s="19" t="str">
        <f t="array" aca="1" ref="B97" ca="1">IFERROR(INDEX(Daten!$T$2:$T$393,LARGE((Daten!$B$2:$B$393='Material+Limits'!$P$18)*(ROW(Daten!$B$2:$B$393)-1),COUNTIF(Daten!$B$2:$B$393,'Material+Limits'!$P$18)+1-ROW(Daten!A34))),"")</f>
        <v/>
      </c>
      <c r="C97" s="4"/>
      <c r="D97" s="2" t="str">
        <f t="array" aca="1" ref="D97" ca="1">IFERROR(INDEX(Daten!$AF$2:$AF$393,LARGE((Daten!$B$2:$B$393='Material+Limits'!$P$18)*(ROW(Daten!$B$2:$B$393)-1),COUNTIF(Daten!$B$2:$B$393,'Material+Limits'!$P$18)+1-ROW(Daten!A34))),"")</f>
        <v/>
      </c>
      <c r="E97" s="2" t="str">
        <f t="array" aca="1" ref="E97" ca="1">IFERROR(INDEX(Daten!$AE$2:$AE$393,LARGE((Daten!$B$2:$B$393='Material+Limits'!$P$18)*(ROW(Daten!$B$2:$B$393)-1),COUNTIF(Daten!$B$2:$B$393,'Material+Limits'!$P$18)+1-ROW(Daten!A34))),"")</f>
        <v/>
      </c>
      <c r="F97" s="2" t="str">
        <f t="array" aca="1" ref="F97" ca="1">IFERROR(INDEX(Daten!$AG$2:$AG$393,LARGE((Daten!$B$2:$B$393='Material+Limits'!$P$18)*(ROW(Daten!$B$2:$B$393)-1),COUNTIF(Daten!$B$2:$B$393,'Material+Limits'!$P$18)+1-ROW(Daten!A34))),"")</f>
        <v/>
      </c>
      <c r="G97" s="4"/>
      <c r="H97" s="2" t="str">
        <f t="array" aca="1" ref="H97" ca="1">IFERROR(INDEX(Daten!$AH$2:$AH$393,LARGE((Daten!$B$2:$B$393='Material+Limits'!$P$18)*(ROW(Daten!$B$2:$B$393)-1),COUNTIF(Daten!$B$2:$B$393,'Material+Limits'!$P$18)+1-ROW(Daten!A34))),"")</f>
        <v/>
      </c>
      <c r="I97" s="4"/>
      <c r="J97" s="2" t="str">
        <f t="array" aca="1" ref="J97" ca="1">IFERROR(INDEX(Daten!$Z$2:$Z$393,LARGE((Daten!$B$2:$B$393='Material+Limits'!$P$18)*(ROW(Daten!$B$2:$B$393)-1),COUNTIF(Daten!$B$2:$B$393,'Material+Limits'!$P$18)+1-ROW(Daten!A34))),"")</f>
        <v/>
      </c>
      <c r="K97" s="16" t="str">
        <f t="array" aca="1" ref="K97" ca="1">IFERROR(INDEX(Daten!$AA$2:$AA$393,LARGE((Daten!$B$2:$B$393='Material+Limits'!$P$18)*(ROW(Daten!$B$2:$B$393)-1),COUNTIF(Daten!$B$2:$B$393,'Material+Limits'!$P$18)+1-ROW(Daten!A34))),"")</f>
        <v/>
      </c>
      <c r="L97" s="11" t="str">
        <f t="array" aca="1" ref="L97" ca="1">IFERROR(INDEX(Daten!$AC$2:$AC$393,LARGE((Daten!$B$2:$B$393='Material+Limits'!$P$18)*(ROW(Daten!$B$2:$B$393)-1),COUNTIF(Daten!$B$2:$B$393,'Material+Limits'!$P$18)+1-ROW(Daten!A34))),"")</f>
        <v/>
      </c>
      <c r="M97" s="16" t="str">
        <f t="array" aca="1" ref="M97" ca="1">IFERROR(INDEX(Daten!$AD$2:$AD$393,LARGE((Daten!$B$2:$B$393='Material+Limits'!$P$18)*(ROW(Daten!$B$2:$B$393)-1),COUNTIF(Daten!$B$2:$B$393,'Material+Limits'!$P$18)+1-ROW(Daten!A34))),"")</f>
        <v/>
      </c>
      <c r="N97" s="2" t="str">
        <f t="array" aca="1" ref="N97" ca="1">IFERROR(INDEX(Daten!$AI$2:$AI$393,LARGE((Daten!$B$2:$B$393='Material+Limits'!$P$18)*(ROW(Daten!$B$2:$B$393)-1),COUNTIF(Daten!$B$2:$B$393,'Material+Limits'!$P$18)+1-ROW(Daten!A34))),"")</f>
        <v/>
      </c>
      <c r="O97" s="20" t="str">
        <f t="array" aca="1" ref="O97" ca="1">IFERROR(INDEX(Daten!$AJ$2:$AJ$393,LARGE((Daten!$B$2:$B$393='Material+Limits'!$P$18)*(ROW(Daten!$B$2:$B$393)-1),COUNTIF(Daten!$B$2:$B$393,'Material+Limits'!$P$18)+1-ROW(Daten!A34))),"")</f>
        <v/>
      </c>
      <c r="P97" t="str">
        <f t="array" aca="1" ref="P97" ca="1">IFERROR(INDEX(Daten!$AM$2:$AM$393,LARGE((Daten!$B$2:$B$393='Material+Limits'!$P$18)*(ROW(Daten!$B$2:$B$393)-1),COUNTIF(Daten!$B$2:$B$393,'Material+Limits'!$P$18)+1-ROW(Daten!A34))),"")</f>
        <v/>
      </c>
      <c r="Q97" t="str">
        <f t="array" aca="1" ref="Q97" ca="1">IFERROR(INDEX(Daten!$AN$2:$AN$393,LARGE((Daten!$B$2:$B$393='Material+Limits'!$P$18)*(ROW(Daten!$B$2:$B$393)-1),COUNTIF(Daten!$B$2:$B$393,'Material+Limits'!$P$18)+1-ROW(Daten!A34))),"")</f>
        <v/>
      </c>
    </row>
    <row r="98" spans="1:19" x14ac:dyDescent="0.25">
      <c r="A98" t="str">
        <f t="shared" ref="A98:A103" ca="1" si="0">E98</f>
        <v/>
      </c>
      <c r="B98" s="19" t="str">
        <f t="array" aca="1" ref="B98" ca="1">IFERROR(INDEX(Daten!$T$2:$T$393,LARGE((Daten!$B$2:$B$393='Material+Limits'!$P$18)*(ROW(Daten!$B$2:$B$393)-1),COUNTIF(Daten!$B$2:$B$393,'Material+Limits'!$P$18)+1-ROW(Daten!A35))),"")</f>
        <v/>
      </c>
      <c r="C98" s="4"/>
      <c r="D98" s="2" t="str">
        <f t="array" aca="1" ref="D98" ca="1">IFERROR(INDEX(Daten!$AF$2:$AF$393,LARGE((Daten!$B$2:$B$393='Material+Limits'!$P$18)*(ROW(Daten!$B$2:$B$393)-1),COUNTIF(Daten!$B$2:$B$393,'Material+Limits'!$P$18)+1-ROW(Daten!A35))),"")</f>
        <v/>
      </c>
      <c r="E98" s="2" t="str">
        <f t="array" aca="1" ref="E98" ca="1">IFERROR(INDEX(Daten!$AE$2:$AE$393,LARGE((Daten!$B$2:$B$393='Material+Limits'!$P$18)*(ROW(Daten!$B$2:$B$393)-1),COUNTIF(Daten!$B$2:$B$393,'Material+Limits'!$P$18)+1-ROW(Daten!A35))),"")</f>
        <v/>
      </c>
      <c r="F98" s="2" t="str">
        <f t="array" aca="1" ref="F98" ca="1">IFERROR(INDEX(Daten!$AG$2:$AG$393,LARGE((Daten!$B$2:$B$393='Material+Limits'!$P$18)*(ROW(Daten!$B$2:$B$393)-1),COUNTIF(Daten!$B$2:$B$393,'Material+Limits'!$P$18)+1-ROW(Daten!A35))),"")</f>
        <v/>
      </c>
      <c r="G98" s="4"/>
      <c r="H98" s="2" t="str">
        <f t="array" aca="1" ref="H98" ca="1">IFERROR(INDEX(Daten!$AH$2:$AH$393,LARGE((Daten!$B$2:$B$393='Material+Limits'!$P$18)*(ROW(Daten!$B$2:$B$393)-1),COUNTIF(Daten!$B$2:$B$393,'Material+Limits'!$P$18)+1-ROW(Daten!A35))),"")</f>
        <v/>
      </c>
      <c r="I98" s="4"/>
      <c r="J98" s="2" t="str">
        <f t="array" aca="1" ref="J98" ca="1">IFERROR(INDEX(Daten!$Z$2:$Z$393,LARGE((Daten!$B$2:$B$393='Material+Limits'!$P$18)*(ROW(Daten!$B$2:$B$393)-1),COUNTIF(Daten!$B$2:$B$393,'Material+Limits'!$P$18)+1-ROW(Daten!A35))),"")</f>
        <v/>
      </c>
      <c r="K98" s="16" t="str">
        <f t="array" aca="1" ref="K98" ca="1">IFERROR(INDEX(Daten!$AA$2:$AA$393,LARGE((Daten!$B$2:$B$393='Material+Limits'!$P$18)*(ROW(Daten!$B$2:$B$393)-1),COUNTIF(Daten!$B$2:$B$393,'Material+Limits'!$P$18)+1-ROW(Daten!A35))),"")</f>
        <v/>
      </c>
      <c r="L98" s="11" t="str">
        <f t="array" aca="1" ref="L98" ca="1">IFERROR(INDEX(Daten!$AC$2:$AC$393,LARGE((Daten!$B$2:$B$393='Material+Limits'!$P$18)*(ROW(Daten!$B$2:$B$393)-1),COUNTIF(Daten!$B$2:$B$393,'Material+Limits'!$P$18)+1-ROW(Daten!A35))),"")</f>
        <v/>
      </c>
      <c r="M98" s="16" t="str">
        <f t="array" aca="1" ref="M98" ca="1">IFERROR(INDEX(Daten!$AD$2:$AD$393,LARGE((Daten!$B$2:$B$393='Material+Limits'!$P$18)*(ROW(Daten!$B$2:$B$393)-1),COUNTIF(Daten!$B$2:$B$393,'Material+Limits'!$P$18)+1-ROW(Daten!A35))),"")</f>
        <v/>
      </c>
      <c r="N98" s="2" t="str">
        <f t="array" aca="1" ref="N98" ca="1">IFERROR(INDEX(Daten!$AI$2:$AI$393,LARGE((Daten!$B$2:$B$393='Material+Limits'!$P$18)*(ROW(Daten!$B$2:$B$393)-1),COUNTIF(Daten!$B$2:$B$393,'Material+Limits'!$P$18)+1-ROW(Daten!A35))),"")</f>
        <v/>
      </c>
      <c r="O98" s="20" t="str">
        <f t="array" aca="1" ref="O98" ca="1">IFERROR(INDEX(Daten!$AJ$2:$AJ$393,LARGE((Daten!$B$2:$B$393='Material+Limits'!$P$18)*(ROW(Daten!$B$2:$B$393)-1),COUNTIF(Daten!$B$2:$B$393,'Material+Limits'!$P$18)+1-ROW(Daten!A35))),"")</f>
        <v/>
      </c>
      <c r="P98" t="str">
        <f t="array" aca="1" ref="P98" ca="1">IFERROR(INDEX(Daten!$AM$2:$AM$393,LARGE((Daten!$B$2:$B$393='Material+Limits'!$P$18)*(ROW(Daten!$B$2:$B$393)-1),COUNTIF(Daten!$B$2:$B$393,'Material+Limits'!$P$18)+1-ROW(Daten!A35))),"")</f>
        <v/>
      </c>
      <c r="Q98" t="str">
        <f t="array" aca="1" ref="Q98" ca="1">IFERROR(INDEX(Daten!$AN$2:$AN$393,LARGE((Daten!$B$2:$B$393='Material+Limits'!$P$18)*(ROW(Daten!$B$2:$B$393)-1),COUNTIF(Daten!$B$2:$B$393,'Material+Limits'!$P$18)+1-ROW(Daten!A35))),"")</f>
        <v/>
      </c>
    </row>
    <row r="99" spans="1:19" x14ac:dyDescent="0.25">
      <c r="A99" t="str">
        <f t="shared" ca="1" si="0"/>
        <v/>
      </c>
      <c r="B99" s="19" t="str">
        <f t="array" aca="1" ref="B99" ca="1">IFERROR(INDEX(Daten!$T$2:$T$393,LARGE((Daten!$B$2:$B$393='Material+Limits'!$P$18)*(ROW(Daten!$B$2:$B$393)-1),COUNTIF(Daten!$B$2:$B$393,'Material+Limits'!$P$18)+1-ROW(Daten!A36))),"")</f>
        <v/>
      </c>
      <c r="C99" s="4"/>
      <c r="D99" s="2" t="str">
        <f t="array" aca="1" ref="D99" ca="1">IFERROR(INDEX(Daten!$AF$2:$AF$393,LARGE((Daten!$B$2:$B$393='Material+Limits'!$P$18)*(ROW(Daten!$B$2:$B$393)-1),COUNTIF(Daten!$B$2:$B$393,'Material+Limits'!$P$18)+1-ROW(Daten!A36))),"")</f>
        <v/>
      </c>
      <c r="E99" s="2" t="str">
        <f t="array" aca="1" ref="E99" ca="1">IFERROR(INDEX(Daten!$AE$2:$AE$393,LARGE((Daten!$B$2:$B$393='Material+Limits'!$P$18)*(ROW(Daten!$B$2:$B$393)-1),COUNTIF(Daten!$B$2:$B$393,'Material+Limits'!$P$18)+1-ROW(Daten!A36))),"")</f>
        <v/>
      </c>
      <c r="F99" s="2" t="str">
        <f t="array" aca="1" ref="F99" ca="1">IFERROR(INDEX(Daten!$AG$2:$AG$393,LARGE((Daten!$B$2:$B$393='Material+Limits'!$P$18)*(ROW(Daten!$B$2:$B$393)-1),COUNTIF(Daten!$B$2:$B$393,'Material+Limits'!$P$18)+1-ROW(Daten!A36))),"")</f>
        <v/>
      </c>
      <c r="G99" s="4"/>
      <c r="H99" s="2" t="str">
        <f t="array" aca="1" ref="H99" ca="1">IFERROR(INDEX(Daten!$AH$2:$AH$393,LARGE((Daten!$B$2:$B$393='Material+Limits'!$P$18)*(ROW(Daten!$B$2:$B$393)-1),COUNTIF(Daten!$B$2:$B$393,'Material+Limits'!$P$18)+1-ROW(Daten!A36))),"")</f>
        <v/>
      </c>
      <c r="I99" s="4"/>
      <c r="J99" s="2" t="str">
        <f t="array" aca="1" ref="J99" ca="1">IFERROR(INDEX(Daten!$Z$2:$Z$393,LARGE((Daten!$B$2:$B$393='Material+Limits'!$P$18)*(ROW(Daten!$B$2:$B$393)-1),COUNTIF(Daten!$B$2:$B$393,'Material+Limits'!$P$18)+1-ROW(Daten!A36))),"")</f>
        <v/>
      </c>
      <c r="K99" s="16" t="str">
        <f t="array" aca="1" ref="K99" ca="1">IFERROR(INDEX(Daten!$AA$2:$AA$393,LARGE((Daten!$B$2:$B$393='Material+Limits'!$P$18)*(ROW(Daten!$B$2:$B$393)-1),COUNTIF(Daten!$B$2:$B$393,'Material+Limits'!$P$18)+1-ROW(Daten!A36))),"")</f>
        <v/>
      </c>
      <c r="L99" s="11" t="str">
        <f t="array" aca="1" ref="L99" ca="1">IFERROR(INDEX(Daten!$AC$2:$AC$393,LARGE((Daten!$B$2:$B$393='Material+Limits'!$P$18)*(ROW(Daten!$B$2:$B$393)-1),COUNTIF(Daten!$B$2:$B$393,'Material+Limits'!$P$18)+1-ROW(Daten!A36))),"")</f>
        <v/>
      </c>
      <c r="M99" s="16" t="str">
        <f t="array" aca="1" ref="M99" ca="1">IFERROR(INDEX(Daten!$AD$2:$AD$393,LARGE((Daten!$B$2:$B$393='Material+Limits'!$P$18)*(ROW(Daten!$B$2:$B$393)-1),COUNTIF(Daten!$B$2:$B$393,'Material+Limits'!$P$18)+1-ROW(Daten!A36))),"")</f>
        <v/>
      </c>
      <c r="N99" s="2" t="str">
        <f t="array" aca="1" ref="N99" ca="1">IFERROR(INDEX(Daten!$AI$2:$AI$393,LARGE((Daten!$B$2:$B$393='Material+Limits'!$P$18)*(ROW(Daten!$B$2:$B$393)-1),COUNTIF(Daten!$B$2:$B$393,'Material+Limits'!$P$18)+1-ROW(Daten!A36))),"")</f>
        <v/>
      </c>
      <c r="O99" s="20" t="str">
        <f t="array" aca="1" ref="O99" ca="1">IFERROR(INDEX(Daten!$AJ$2:$AJ$393,LARGE((Daten!$B$2:$B$393='Material+Limits'!$P$18)*(ROW(Daten!$B$2:$B$393)-1),COUNTIF(Daten!$B$2:$B$393,'Material+Limits'!$P$18)+1-ROW(Daten!A36))),"")</f>
        <v/>
      </c>
      <c r="P99" t="str">
        <f t="array" aca="1" ref="P99" ca="1">IFERROR(INDEX(Daten!$AM$2:$AM$393,LARGE((Daten!$B$2:$B$393='Material+Limits'!$P$18)*(ROW(Daten!$B$2:$B$393)-1),COUNTIF(Daten!$B$2:$B$393,'Material+Limits'!$P$18)+1-ROW(Daten!A36))),"")</f>
        <v/>
      </c>
      <c r="Q99" t="str">
        <f t="array" aca="1" ref="Q99" ca="1">IFERROR(INDEX(Daten!$AN$2:$AN$393,LARGE((Daten!$B$2:$B$393='Material+Limits'!$P$18)*(ROW(Daten!$B$2:$B$393)-1),COUNTIF(Daten!$B$2:$B$393,'Material+Limits'!$P$18)+1-ROW(Daten!A36))),"")</f>
        <v/>
      </c>
    </row>
    <row r="100" spans="1:19" x14ac:dyDescent="0.25">
      <c r="A100" t="str">
        <f t="shared" ca="1" si="0"/>
        <v/>
      </c>
      <c r="B100" s="19" t="str">
        <f t="array" aca="1" ref="B100" ca="1">IFERROR(INDEX(Daten!$T$2:$T$393,LARGE((Daten!$B$2:$B$393='Material+Limits'!$P$18)*(ROW(Daten!$B$2:$B$393)-1),COUNTIF(Daten!$B$2:$B$393,'Material+Limits'!$P$18)+1-ROW(Daten!A37))),"")</f>
        <v/>
      </c>
      <c r="C100" s="4"/>
      <c r="D100" s="2" t="str">
        <f t="array" aca="1" ref="D100" ca="1">IFERROR(INDEX(Daten!$AF$2:$AF$393,LARGE((Daten!$B$2:$B$393='Material+Limits'!$P$18)*(ROW(Daten!$B$2:$B$393)-1),COUNTIF(Daten!$B$2:$B$393,'Material+Limits'!$P$18)+1-ROW(Daten!A37))),"")</f>
        <v/>
      </c>
      <c r="E100" s="2" t="str">
        <f t="array" aca="1" ref="E100" ca="1">IFERROR(INDEX(Daten!$AE$2:$AE$393,LARGE((Daten!$B$2:$B$393='Material+Limits'!$P$18)*(ROW(Daten!$B$2:$B$393)-1),COUNTIF(Daten!$B$2:$B$393,'Material+Limits'!$P$18)+1-ROW(Daten!A37))),"")</f>
        <v/>
      </c>
      <c r="F100" s="2" t="str">
        <f t="array" aca="1" ref="F100" ca="1">IFERROR(INDEX(Daten!$AG$2:$AG$393,LARGE((Daten!$B$2:$B$393='Material+Limits'!$P$18)*(ROW(Daten!$B$2:$B$393)-1),COUNTIF(Daten!$B$2:$B$393,'Material+Limits'!$P$18)+1-ROW(Daten!A37))),"")</f>
        <v/>
      </c>
      <c r="G100" s="4"/>
      <c r="H100" s="2" t="str">
        <f t="array" aca="1" ref="H100" ca="1">IFERROR(INDEX(Daten!$AH$2:$AH$393,LARGE((Daten!$B$2:$B$393='Material+Limits'!$P$18)*(ROW(Daten!$B$2:$B$393)-1),COUNTIF(Daten!$B$2:$B$393,'Material+Limits'!$P$18)+1-ROW(Daten!A37))),"")</f>
        <v/>
      </c>
      <c r="I100" s="4"/>
      <c r="J100" s="2" t="str">
        <f t="array" aca="1" ref="J100" ca="1">IFERROR(INDEX(Daten!$Z$2:$Z$393,LARGE((Daten!$B$2:$B$393='Material+Limits'!$P$18)*(ROW(Daten!$B$2:$B$393)-1),COUNTIF(Daten!$B$2:$B$393,'Material+Limits'!$P$18)+1-ROW(Daten!A37))),"")</f>
        <v/>
      </c>
      <c r="K100" s="16" t="str">
        <f t="array" aca="1" ref="K100" ca="1">IFERROR(INDEX(Daten!$AA$2:$AA$393,LARGE((Daten!$B$2:$B$393='Material+Limits'!$P$18)*(ROW(Daten!$B$2:$B$393)-1),COUNTIF(Daten!$B$2:$B$393,'Material+Limits'!$P$18)+1-ROW(Daten!A37))),"")</f>
        <v/>
      </c>
      <c r="L100" s="11" t="str">
        <f t="array" aca="1" ref="L100" ca="1">IFERROR(INDEX(Daten!$AC$2:$AC$393,LARGE((Daten!$B$2:$B$393='Material+Limits'!$P$18)*(ROW(Daten!$B$2:$B$393)-1),COUNTIF(Daten!$B$2:$B$393,'Material+Limits'!$P$18)+1-ROW(Daten!A37))),"")</f>
        <v/>
      </c>
      <c r="M100" s="16" t="str">
        <f t="array" aca="1" ref="M100" ca="1">IFERROR(INDEX(Daten!$AD$2:$AD$393,LARGE((Daten!$B$2:$B$393='Material+Limits'!$P$18)*(ROW(Daten!$B$2:$B$393)-1),COUNTIF(Daten!$B$2:$B$393,'Material+Limits'!$P$18)+1-ROW(Daten!A37))),"")</f>
        <v/>
      </c>
      <c r="N100" s="2" t="str">
        <f t="array" aca="1" ref="N100" ca="1">IFERROR(INDEX(Daten!$AI$2:$AI$393,LARGE((Daten!$B$2:$B$393='Material+Limits'!$P$18)*(ROW(Daten!$B$2:$B$393)-1),COUNTIF(Daten!$B$2:$B$393,'Material+Limits'!$P$18)+1-ROW(Daten!A37))),"")</f>
        <v/>
      </c>
      <c r="O100" s="20" t="str">
        <f t="array" aca="1" ref="O100" ca="1">IFERROR(INDEX(Daten!$AJ$2:$AJ$393,LARGE((Daten!$B$2:$B$393='Material+Limits'!$P$18)*(ROW(Daten!$B$2:$B$393)-1),COUNTIF(Daten!$B$2:$B$393,'Material+Limits'!$P$18)+1-ROW(Daten!A37))),"")</f>
        <v/>
      </c>
      <c r="P100" t="str">
        <f t="array" aca="1" ref="P100" ca="1">IFERROR(INDEX(Daten!$AM$2:$AM$393,LARGE((Daten!$B$2:$B$393='Material+Limits'!$P$18)*(ROW(Daten!$B$2:$B$393)-1),COUNTIF(Daten!$B$2:$B$393,'Material+Limits'!$P$18)+1-ROW(Daten!A37))),"")</f>
        <v/>
      </c>
      <c r="Q100" t="str">
        <f t="array" aca="1" ref="Q100" ca="1">IFERROR(INDEX(Daten!$AN$2:$AN$393,LARGE((Daten!$B$2:$B$393='Material+Limits'!$P$18)*(ROW(Daten!$B$2:$B$393)-1),COUNTIF(Daten!$B$2:$B$393,'Material+Limits'!$P$18)+1-ROW(Daten!A37))),"")</f>
        <v/>
      </c>
    </row>
    <row r="101" spans="1:19" x14ac:dyDescent="0.25">
      <c r="A101" t="str">
        <f t="shared" ca="1" si="0"/>
        <v/>
      </c>
      <c r="B101" s="19" t="str">
        <f t="array" aca="1" ref="B101" ca="1">IFERROR(INDEX(Daten!$T$2:$T$393,LARGE((Daten!$B$2:$B$393='Material+Limits'!$P$18)*(ROW(Daten!$B$2:$B$393)-1),COUNTIF(Daten!$B$2:$B$393,'Material+Limits'!$P$18)+1-ROW(Daten!A38))),"")</f>
        <v/>
      </c>
      <c r="C101" s="4"/>
      <c r="D101" s="2" t="str">
        <f t="array" aca="1" ref="D101" ca="1">IFERROR(INDEX(Daten!$AF$2:$AF$393,LARGE((Daten!$B$2:$B$393='Material+Limits'!$P$18)*(ROW(Daten!$B$2:$B$393)-1),COUNTIF(Daten!$B$2:$B$393,'Material+Limits'!$P$18)+1-ROW(Daten!A38))),"")</f>
        <v/>
      </c>
      <c r="E101" s="2" t="str">
        <f t="array" aca="1" ref="E101" ca="1">IFERROR(INDEX(Daten!$AE$2:$AE$393,LARGE((Daten!$B$2:$B$393='Material+Limits'!$P$18)*(ROW(Daten!$B$2:$B$393)-1),COUNTIF(Daten!$B$2:$B$393,'Material+Limits'!$P$18)+1-ROW(Daten!A38))),"")</f>
        <v/>
      </c>
      <c r="F101" s="2" t="str">
        <f t="array" aca="1" ref="F101" ca="1">IFERROR(INDEX(Daten!$AG$2:$AG$393,LARGE((Daten!$B$2:$B$393='Material+Limits'!$P$18)*(ROW(Daten!$B$2:$B$393)-1),COUNTIF(Daten!$B$2:$B$393,'Material+Limits'!$P$18)+1-ROW(Daten!A38))),"")</f>
        <v/>
      </c>
      <c r="G101" s="4"/>
      <c r="H101" s="2" t="str">
        <f t="array" aca="1" ref="H101" ca="1">IFERROR(INDEX(Daten!$AH$2:$AH$393,LARGE((Daten!$B$2:$B$393='Material+Limits'!$P$18)*(ROW(Daten!$B$2:$B$393)-1),COUNTIF(Daten!$B$2:$B$393,'Material+Limits'!$P$18)+1-ROW(Daten!A38))),"")</f>
        <v/>
      </c>
      <c r="I101" s="4"/>
      <c r="J101" s="2" t="str">
        <f t="array" aca="1" ref="J101" ca="1">IFERROR(INDEX(Daten!$Z$2:$Z$393,LARGE((Daten!$B$2:$B$393='Material+Limits'!$P$18)*(ROW(Daten!$B$2:$B$393)-1),COUNTIF(Daten!$B$2:$B$393,'Material+Limits'!$P$18)+1-ROW(Daten!A38))),"")</f>
        <v/>
      </c>
      <c r="K101" s="16" t="str">
        <f t="array" aca="1" ref="K101" ca="1">IFERROR(INDEX(Daten!$AA$2:$AA$393,LARGE((Daten!$B$2:$B$393='Material+Limits'!$P$18)*(ROW(Daten!$B$2:$B$393)-1),COUNTIF(Daten!$B$2:$B$393,'Material+Limits'!$P$18)+1-ROW(Daten!A38))),"")</f>
        <v/>
      </c>
      <c r="L101" s="11" t="str">
        <f t="array" aca="1" ref="L101" ca="1">IFERROR(INDEX(Daten!$AC$2:$AC$393,LARGE((Daten!$B$2:$B$393='Material+Limits'!$P$18)*(ROW(Daten!$B$2:$B$393)-1),COUNTIF(Daten!$B$2:$B$393,'Material+Limits'!$P$18)+1-ROW(Daten!A38))),"")</f>
        <v/>
      </c>
      <c r="M101" s="16" t="str">
        <f t="array" aca="1" ref="M101" ca="1">IFERROR(INDEX(Daten!$AD$2:$AD$393,LARGE((Daten!$B$2:$B$393='Material+Limits'!$P$18)*(ROW(Daten!$B$2:$B$393)-1),COUNTIF(Daten!$B$2:$B$393,'Material+Limits'!$P$18)+1-ROW(Daten!A38))),"")</f>
        <v/>
      </c>
      <c r="N101" s="2" t="str">
        <f t="array" aca="1" ref="N101" ca="1">IFERROR(INDEX(Daten!$AI$2:$AI$393,LARGE((Daten!$B$2:$B$393='Material+Limits'!$P$18)*(ROW(Daten!$B$2:$B$393)-1),COUNTIF(Daten!$B$2:$B$393,'Material+Limits'!$P$18)+1-ROW(Daten!A38))),"")</f>
        <v/>
      </c>
      <c r="O101" s="20" t="str">
        <f t="array" aca="1" ref="O101" ca="1">IFERROR(INDEX(Daten!$AJ$2:$AJ$393,LARGE((Daten!$B$2:$B$393='Material+Limits'!$P$18)*(ROW(Daten!$B$2:$B$393)-1),COUNTIF(Daten!$B$2:$B$393,'Material+Limits'!$P$18)+1-ROW(Daten!A38))),"")</f>
        <v/>
      </c>
      <c r="P101" t="str">
        <f t="array" aca="1" ref="P101" ca="1">IFERROR(INDEX(Daten!$AM$2:$AM$393,LARGE((Daten!$B$2:$B$393='Material+Limits'!$P$18)*(ROW(Daten!$B$2:$B$393)-1),COUNTIF(Daten!$B$2:$B$393,'Material+Limits'!$P$18)+1-ROW(Daten!A38))),"")</f>
        <v/>
      </c>
      <c r="Q101" t="str">
        <f t="array" aca="1" ref="Q101" ca="1">IFERROR(INDEX(Daten!$AN$2:$AN$393,LARGE((Daten!$B$2:$B$393='Material+Limits'!$P$18)*(ROW(Daten!$B$2:$B$393)-1),COUNTIF(Daten!$B$2:$B$393,'Material+Limits'!$P$18)+1-ROW(Daten!A38))),"")</f>
        <v/>
      </c>
    </row>
    <row r="102" spans="1:19" x14ac:dyDescent="0.25">
      <c r="A102" t="str">
        <f t="shared" ca="1" si="0"/>
        <v/>
      </c>
      <c r="B102" s="19" t="str">
        <f t="array" aca="1" ref="B102" ca="1">IFERROR(INDEX(Daten!$T$2:$T$393,LARGE((Daten!$B$2:$B$393='Material+Limits'!$P$18)*(ROW(Daten!$B$2:$B$393)-1),COUNTIF(Daten!$B$2:$B$393,'Material+Limits'!$P$18)+1-ROW(Daten!A39))),"")</f>
        <v/>
      </c>
      <c r="C102" s="4"/>
      <c r="D102" s="2" t="str">
        <f t="array" aca="1" ref="D102" ca="1">IFERROR(INDEX(Daten!$AF$2:$AF$393,LARGE((Daten!$B$2:$B$393='Material+Limits'!$P$18)*(ROW(Daten!$B$2:$B$393)-1),COUNTIF(Daten!$B$2:$B$393,'Material+Limits'!$P$18)+1-ROW(Daten!A39))),"")</f>
        <v/>
      </c>
      <c r="E102" s="2" t="str">
        <f t="array" aca="1" ref="E102" ca="1">IFERROR(INDEX(Daten!$AE$2:$AE$393,LARGE((Daten!$B$2:$B$393='Material+Limits'!$P$18)*(ROW(Daten!$B$2:$B$393)-1),COUNTIF(Daten!$B$2:$B$393,'Material+Limits'!$P$18)+1-ROW(Daten!A39))),"")</f>
        <v/>
      </c>
      <c r="F102" s="2" t="str">
        <f t="array" aca="1" ref="F102" ca="1">IFERROR(INDEX(Daten!$AG$2:$AG$393,LARGE((Daten!$B$2:$B$393='Material+Limits'!$P$18)*(ROW(Daten!$B$2:$B$393)-1),COUNTIF(Daten!$B$2:$B$393,'Material+Limits'!$P$18)+1-ROW(Daten!A39))),"")</f>
        <v/>
      </c>
      <c r="G102" s="4"/>
      <c r="H102" s="2" t="str">
        <f t="array" aca="1" ref="H102" ca="1">IFERROR(INDEX(Daten!$AH$2:$AH$393,LARGE((Daten!$B$2:$B$393='Material+Limits'!$P$18)*(ROW(Daten!$B$2:$B$393)-1),COUNTIF(Daten!$B$2:$B$393,'Material+Limits'!$P$18)+1-ROW(Daten!A39))),"")</f>
        <v/>
      </c>
      <c r="I102" s="4"/>
      <c r="J102" s="2" t="str">
        <f t="array" aca="1" ref="J102" ca="1">IFERROR(INDEX(Daten!$Z$2:$Z$393,LARGE((Daten!$B$2:$B$393='Material+Limits'!$P$18)*(ROW(Daten!$B$2:$B$393)-1),COUNTIF(Daten!$B$2:$B$393,'Material+Limits'!$P$18)+1-ROW(Daten!A39))),"")</f>
        <v/>
      </c>
      <c r="K102" s="16" t="str">
        <f t="array" aca="1" ref="K102" ca="1">IFERROR(INDEX(Daten!$AA$2:$AA$393,LARGE((Daten!$B$2:$B$393='Material+Limits'!$P$18)*(ROW(Daten!$B$2:$B$393)-1),COUNTIF(Daten!$B$2:$B$393,'Material+Limits'!$P$18)+1-ROW(Daten!A39))),"")</f>
        <v/>
      </c>
      <c r="L102" s="11" t="str">
        <f t="array" aca="1" ref="L102" ca="1">IFERROR(INDEX(Daten!$AC$2:$AC$393,LARGE((Daten!$B$2:$B$393='Material+Limits'!$P$18)*(ROW(Daten!$B$2:$B$393)-1),COUNTIF(Daten!$B$2:$B$393,'Material+Limits'!$P$18)+1-ROW(Daten!A39))),"")</f>
        <v/>
      </c>
      <c r="M102" s="16" t="str">
        <f t="array" aca="1" ref="M102" ca="1">IFERROR(INDEX(Daten!$AD$2:$AD$393,LARGE((Daten!$B$2:$B$393='Material+Limits'!$P$18)*(ROW(Daten!$B$2:$B$393)-1),COUNTIF(Daten!$B$2:$B$393,'Material+Limits'!$P$18)+1-ROW(Daten!A39))),"")</f>
        <v/>
      </c>
      <c r="N102" s="2" t="str">
        <f t="array" aca="1" ref="N102" ca="1">IFERROR(INDEX(Daten!$AI$2:$AI$393,LARGE((Daten!$B$2:$B$393='Material+Limits'!$P$18)*(ROW(Daten!$B$2:$B$393)-1),COUNTIF(Daten!$B$2:$B$393,'Material+Limits'!$P$18)+1-ROW(Daten!A39))),"")</f>
        <v/>
      </c>
      <c r="O102" s="20" t="str">
        <f t="array" aca="1" ref="O102" ca="1">IFERROR(INDEX(Daten!$AJ$2:$AJ$393,LARGE((Daten!$B$2:$B$393='Material+Limits'!$P$18)*(ROW(Daten!$B$2:$B$393)-1),COUNTIF(Daten!$B$2:$B$393,'Material+Limits'!$P$18)+1-ROW(Daten!A39))),"")</f>
        <v/>
      </c>
      <c r="P102" t="str">
        <f t="array" aca="1" ref="P102" ca="1">IFERROR(INDEX(Daten!$AM$2:$AM$393,LARGE((Daten!$B$2:$B$393='Material+Limits'!$P$18)*(ROW(Daten!$B$2:$B$393)-1),COUNTIF(Daten!$B$2:$B$393,'Material+Limits'!$P$18)+1-ROW(Daten!A39))),"")</f>
        <v/>
      </c>
      <c r="Q102" t="str">
        <f t="array" aca="1" ref="Q102" ca="1">IFERROR(INDEX(Daten!$AN$2:$AN$393,LARGE((Daten!$B$2:$B$393='Material+Limits'!$P$18)*(ROW(Daten!$B$2:$B$393)-1),COUNTIF(Daten!$B$2:$B$393,'Material+Limits'!$P$18)+1-ROW(Daten!A39))),"")</f>
        <v/>
      </c>
    </row>
    <row r="103" spans="1:19" x14ac:dyDescent="0.25">
      <c r="A103" t="str">
        <f t="shared" ca="1" si="0"/>
        <v/>
      </c>
      <c r="B103" s="19" t="str">
        <f t="array" aca="1" ref="B103" ca="1">IFERROR(INDEX(Daten!$T$2:$T$393,LARGE((Daten!$B$2:$B$393='Material+Limits'!$P$18)*(ROW(Daten!$B$2:$B$393)-1),COUNTIF(Daten!$B$2:$B$393,'Material+Limits'!$P$18)+1-ROW(Daten!A40))),"")</f>
        <v/>
      </c>
      <c r="C103" s="4"/>
      <c r="D103" s="2" t="str">
        <f t="array" aca="1" ref="D103" ca="1">IFERROR(INDEX(Daten!$AF$2:$AF$393,LARGE((Daten!$B$2:$B$393='Material+Limits'!$P$18)*(ROW(Daten!$B$2:$B$393)-1),COUNTIF(Daten!$B$2:$B$393,'Material+Limits'!$P$18)+1-ROW(Daten!A40))),"")</f>
        <v/>
      </c>
      <c r="E103" s="2" t="str">
        <f t="array" aca="1" ref="E103" ca="1">IFERROR(INDEX(Daten!$AE$2:$AE$393,LARGE((Daten!$B$2:$B$393='Material+Limits'!$P$18)*(ROW(Daten!$B$2:$B$393)-1),COUNTIF(Daten!$B$2:$B$393,'Material+Limits'!$P$18)+1-ROW(Daten!A40))),"")</f>
        <v/>
      </c>
      <c r="F103" s="2" t="str">
        <f t="array" aca="1" ref="F103" ca="1">IFERROR(INDEX(Daten!$AG$2:$AG$393,LARGE((Daten!$B$2:$B$393='Material+Limits'!$P$18)*(ROW(Daten!$B$2:$B$393)-1),COUNTIF(Daten!$B$2:$B$393,'Material+Limits'!$P$18)+1-ROW(Daten!A40))),"")</f>
        <v/>
      </c>
      <c r="G103" s="4"/>
      <c r="H103" s="2" t="str">
        <f t="array" aca="1" ref="H103" ca="1">IFERROR(INDEX(Daten!$AH$2:$AH$393,LARGE((Daten!$B$2:$B$393='Material+Limits'!$P$18)*(ROW(Daten!$B$2:$B$393)-1),COUNTIF(Daten!$B$2:$B$393,'Material+Limits'!$P$18)+1-ROW(Daten!A40))),"")</f>
        <v/>
      </c>
      <c r="I103" s="4"/>
      <c r="J103" s="2" t="str">
        <f t="array" aca="1" ref="J103" ca="1">IFERROR(INDEX(Daten!$Z$2:$Z$393,LARGE((Daten!$B$2:$B$393='Material+Limits'!$P$18)*(ROW(Daten!$B$2:$B$393)-1),COUNTIF(Daten!$B$2:$B$393,'Material+Limits'!$P$18)+1-ROW(Daten!A40))),"")</f>
        <v/>
      </c>
      <c r="K103" s="16" t="str">
        <f t="array" aca="1" ref="K103" ca="1">IFERROR(INDEX(Daten!$AA$2:$AA$393,LARGE((Daten!$B$2:$B$393='Material+Limits'!$P$18)*(ROW(Daten!$B$2:$B$393)-1),COUNTIF(Daten!$B$2:$B$393,'Material+Limits'!$P$18)+1-ROW(Daten!A40))),"")</f>
        <v/>
      </c>
      <c r="L103" s="11" t="str">
        <f t="array" aca="1" ref="L103" ca="1">IFERROR(INDEX(Daten!$AC$2:$AC$393,LARGE((Daten!$B$2:$B$393='Material+Limits'!$P$18)*(ROW(Daten!$B$2:$B$393)-1),COUNTIF(Daten!$B$2:$B$393,'Material+Limits'!$P$18)+1-ROW(Daten!A40))),"")</f>
        <v/>
      </c>
      <c r="M103" s="16" t="str">
        <f t="array" aca="1" ref="M103" ca="1">IFERROR(INDEX(Daten!$AD$2:$AD$393,LARGE((Daten!$B$2:$B$393='Material+Limits'!$P$18)*(ROW(Daten!$B$2:$B$393)-1),COUNTIF(Daten!$B$2:$B$393,'Material+Limits'!$P$18)+1-ROW(Daten!A40))),"")</f>
        <v/>
      </c>
      <c r="N103" s="2" t="str">
        <f t="array" aca="1" ref="N103" ca="1">IFERROR(INDEX(Daten!$AI$2:$AI$393,LARGE((Daten!$B$2:$B$393='Material+Limits'!$P$18)*(ROW(Daten!$B$2:$B$393)-1),COUNTIF(Daten!$B$2:$B$393,'Material+Limits'!$P$18)+1-ROW(Daten!A40))),"")</f>
        <v/>
      </c>
      <c r="O103" s="20" t="str">
        <f t="array" aca="1" ref="O103" ca="1">IFERROR(INDEX(Daten!$AJ$2:$AJ$393,LARGE((Daten!$B$2:$B$393='Material+Limits'!$P$18)*(ROW(Daten!$B$2:$B$393)-1),COUNTIF(Daten!$B$2:$B$393,'Material+Limits'!$P$18)+1-ROW(Daten!A40))),"")</f>
        <v/>
      </c>
      <c r="P103" t="str">
        <f t="array" aca="1" ref="P103" ca="1">IFERROR(INDEX(Daten!$AM$2:$AM$393,LARGE((Daten!$B$2:$B$393='Material+Limits'!$P$18)*(ROW(Daten!$B$2:$B$393)-1),COUNTIF(Daten!$B$2:$B$393,'Material+Limits'!$P$18)+1-ROW(Daten!A40))),"")</f>
        <v/>
      </c>
      <c r="Q103" t="str">
        <f t="array" aca="1" ref="Q103" ca="1">IFERROR(INDEX(Daten!$AN$2:$AN$393,LARGE((Daten!$B$2:$B$393='Material+Limits'!$P$18)*(ROW(Daten!$B$2:$B$393)-1),COUNTIF(Daten!$B$2:$B$393,'Material+Limits'!$P$18)+1-ROW(Daten!A40))),"")</f>
        <v/>
      </c>
    </row>
    <row r="104" spans="1:19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82"/>
      <c r="M104" s="15"/>
      <c r="N104" s="82"/>
      <c r="O104" s="15"/>
      <c r="P104" s="15"/>
      <c r="Q104" s="15"/>
    </row>
    <row r="105" spans="1:19" x14ac:dyDescent="0.25">
      <c r="A105" s="186">
        <f ca="1">SMALL(A106:A129,1)</f>
        <v>5.8600000000000012</v>
      </c>
      <c r="B105" s="15"/>
      <c r="C105" s="15"/>
      <c r="D105" s="15"/>
      <c r="E105" s="15"/>
      <c r="F105" s="15"/>
      <c r="G105" s="15"/>
      <c r="H105" s="15"/>
      <c r="I105" s="15"/>
      <c r="J105" s="15" t="s">
        <v>12</v>
      </c>
      <c r="K105" s="15"/>
      <c r="L105" s="82" t="s">
        <v>63</v>
      </c>
      <c r="M105" s="15"/>
      <c r="N105" s="82" t="s">
        <v>174</v>
      </c>
      <c r="O105" s="15"/>
      <c r="P105" s="15" t="str">
        <f ca="1">Sprache!$A$88</f>
        <v>zawias</v>
      </c>
      <c r="Q105" s="15" t="str">
        <f ca="1">Sprache!$A$90</f>
        <v>prowadnik</v>
      </c>
    </row>
    <row r="106" spans="1:19" x14ac:dyDescent="0.25">
      <c r="A106" s="186">
        <f ca="1">IFERROR(LARGE(R106:S106,1)-SMALL(R106:S106,1),"")</f>
        <v>5.8600000000000012</v>
      </c>
      <c r="B106" t="str">
        <f t="array" aca="1" ref="B106" ca="1">IFERROR(INDEX(Daten!$T$2:$T$393,LARGE((Daten!$A$2:$A$393='Material+Limits'!$P$18)*(ROW(Daten!$A$2:$A$393)-1),COUNTIF(Daten!$A$2:$A$393,'Material+Limits'!$P$18)+1-ROW(Daten!A1))),"")</f>
        <v xml:space="preserve">Podnośnik F-20 </v>
      </c>
      <c r="D106" t="str">
        <f t="array" aca="1" ref="D106" ca="1">IFERROR(INDEX(Daten!$AF$2:$AF$393,LARGE((Daten!$A$2:$A$393='Material+Limits'!$P$18)*(ROW(Daten!$A$2:$A$393)-1),COUNTIF(Daten!$A$2:$A$393,'Material+Limits'!$P$18)+1-ROW(Daten!A1))),"")</f>
        <v>Zestaw (prawy+lewy)</v>
      </c>
      <c r="E106" t="str">
        <f t="array" aca="1" ref="E106" ca="1">IFERROR(INDEX(Daten!$AE$2:$AE$393,LARGE((Daten!$A$2:$A$393='Material+Limits'!$P$18)*(ROW(Daten!$A$2:$A$393)-1),COUNTIF(Daten!$A$2:$A$393,'Material+Limits'!$P$18)+1-ROW(Daten!A1))),"")</f>
        <v>F152145237201</v>
      </c>
      <c r="F106" t="str">
        <f t="array" aca="1" ref="F106" ca="1">IFERROR(INDEX(Daten!$AG$2:$AG$393,LARGE((Daten!$A$2:$A$393='Material+Limits'!$P$18)*(ROW(Daten!$A$2:$A$393)-1),COUNTIF(Daten!$A$2:$A$393,'Material+Limits'!$P$18)+1-ROW(Daten!A1))),"")</f>
        <v>Ramię Typ 2</v>
      </c>
      <c r="H106" t="str">
        <f t="array" aca="1" ref="H106" ca="1">IFERROR(INDEX(Daten!$AH$2:$AH$393,LARGE((Daten!$A$2:$A$393='Material+Limits'!$P$18)*(ROW(Daten!$A$2:$A$393)-1),COUNTIF(Daten!$A$2:$A$393,'Material+Limits'!$P$18)+1-ROW(Daten!A1))),"")</f>
        <v>Siłownik B</v>
      </c>
      <c r="J106">
        <f t="array" aca="1" ref="J106" ca="1">IFERROR(INDEX(Daten!$Z$2:$Z$393,LARGE((Daten!$A$2:$A$393='Material+Limits'!$P$18)*(ROW(Daten!$A$2:$A$393)-1),COUNTIF(Daten!$A$2:$A$393,'Material+Limits'!$P$18)+1-ROW(Daten!A1))),"")</f>
        <v>520</v>
      </c>
      <c r="K106">
        <f t="array" aca="1" ref="K106" ca="1">IFERROR(INDEX(Daten!$AA$2:$AA$393,LARGE((Daten!$A$2:$A$393='Material+Limits'!$P$18)*(ROW(Daten!$A$2:$A$393)-1),COUNTIF(Daten!$A$2:$A$393,'Material+Limits'!$P$18)+1-ROW(Daten!A1))),"")</f>
        <v>559</v>
      </c>
      <c r="L106" s="2">
        <f t="array" aca="1" ref="L106" ca="1">IFERROR(INDEX(Daten!$AC$2:$AC$393,LARGE((Daten!$A$2:$A$393='Material+Limits'!$P$18)*(ROW(Daten!$A$2:$A$393)-1),COUNTIF(Daten!$A$2:$A$393,'Material+Limits'!$P$18)+1-ROW(Daten!A1))),"")</f>
        <v>4.5999999999999996</v>
      </c>
      <c r="M106">
        <f t="array" aca="1" ref="M106" ca="1">IFERROR(INDEX(Daten!$AD$2:$AD$393,LARGE((Daten!$A$2:$A$393='Material+Limits'!$P$18)*(ROW(Daten!$A$2:$A$393)-1),COUNTIF(Daten!$A$2:$A$393,'Material+Limits'!$P$18)+1-ROW(Daten!A1))),"")</f>
        <v>13.8</v>
      </c>
      <c r="N106" s="2" t="str">
        <f t="array" aca="1" ref="N106" ca="1">IFERROR(INDEX(Daten!$AI$2:$AI$393,LARGE((Daten!$A$2:$A$393='Material+Limits'!$P$18)*(ROW(Daten!$A$2:$A$393)-1),COUNTIF(Daten!$A$2:$A$393,'Material+Limits'!$P$18)+1-ROW(Daten!A1))),"")</f>
        <v>-</v>
      </c>
      <c r="O106" t="str">
        <f t="array" aca="1" ref="O106" ca="1">IFERROR(INDEX(Daten!$AJ$2:$AJ$393,LARGE((Daten!$A$2:$A$393='Material+Limits'!$P$18)*(ROW(Daten!$A$2:$A$393)-1),COUNTIF(Daten!$A$2:$A$393,'Material+Limits'!$P$18)+1-ROW(Daten!A1))),"")</f>
        <v>-</v>
      </c>
      <c r="P106" t="str">
        <f t="array" aca="1" ref="P106" ca="1">IFERROR(INDEX(Daten!$AM$2:$AM$393,LARGE((Daten!$A$2:$A$393='Material+Limits'!$P$18)*(ROW(Daten!$A$2:$A$393)-1),COUNTIF(Daten!$A$2:$A$393,'Material+Limits'!$P$18)+1-ROW(Daten!A1))),"")</f>
        <v>TIOMOS 120° zawias</v>
      </c>
      <c r="Q106" t="str">
        <f t="array" aca="1" ref="Q106" ca="1">IFERROR(INDEX(Daten!$AN$2:$AN$393,LARGE((Daten!$A$2:$A$393='Material+Limits'!$P$18)*(ROW(Daten!$A$2:$A$393)-1),COUNTIF(Daten!$A$2:$A$393,'Material+Limits'!$P$18)+1-ROW(Daten!A1))),"")</f>
        <v>1D° prowadnik</v>
      </c>
      <c r="R106" s="186">
        <f ca="1">IFERROR($I$58-L106,"")</f>
        <v>1.67</v>
      </c>
      <c r="S106" s="186">
        <f ca="1">IFERROR(M106-$I$58,"")</f>
        <v>7.5300000000000011</v>
      </c>
    </row>
    <row r="107" spans="1:19" x14ac:dyDescent="0.25">
      <c r="A107" s="186" t="str">
        <f ca="1">IFERROR(LARGE(R107:S107,1)-SMALL(P107:Q107,1),"")</f>
        <v/>
      </c>
      <c r="B107" t="str">
        <f t="array" aca="1" ref="B107" ca="1">IFERROR(INDEX(Daten!$T$2:$T$393,LARGE((Daten!$A$2:$A$393='Material+Limits'!$P$18)*(ROW(Daten!$A$2:$A$393)-1),COUNTIF(Daten!$A$2:$A$393,'Material+Limits'!$P$18)+1-ROW(Daten!A2))),"")</f>
        <v/>
      </c>
      <c r="D107" t="str">
        <f t="array" aca="1" ref="D107" ca="1">IFERROR(INDEX(Daten!$AF$2:$AF$393,LARGE((Daten!$A$2:$A$393='Material+Limits'!$P$18)*(ROW(Daten!$A$2:$A$393)-1),COUNTIF(Daten!$A$2:$A$393,'Material+Limits'!$P$18)+1-ROW(Daten!A2))),"")</f>
        <v/>
      </c>
      <c r="E107" t="str">
        <f t="array" aca="1" ref="E107" ca="1">IFERROR(INDEX(Daten!$AE$2:$AE$393,LARGE((Daten!$A$2:$A$393='Material+Limits'!$P$18)*(ROW(Daten!$A$2:$A$393)-1),COUNTIF(Daten!$A$2:$A$393,'Material+Limits'!$P$18)+1-ROW(Daten!A2))),"")</f>
        <v/>
      </c>
      <c r="F107" t="str">
        <f t="array" aca="1" ref="F107" ca="1">IFERROR(INDEX(Daten!$AG$2:$AG$393,LARGE((Daten!$A$2:$A$393='Material+Limits'!$P$18)*(ROW(Daten!$A$2:$A$393)-1),COUNTIF(Daten!$A$2:$A$393,'Material+Limits'!$P$18)+1-ROW(Daten!A2))),"")</f>
        <v/>
      </c>
      <c r="H107" t="str">
        <f t="array" aca="1" ref="H107" ca="1">IFERROR(INDEX(Daten!$AH$2:$AH$393,LARGE((Daten!$A$2:$A$393='Material+Limits'!$P$18)*(ROW(Daten!$A$2:$A$393)-1),COUNTIF(Daten!$A$2:$A$393,'Material+Limits'!$P$18)+1-ROW(Daten!A2))),"")</f>
        <v/>
      </c>
      <c r="J107" t="str">
        <f t="array" aca="1" ref="J107" ca="1">IFERROR(INDEX(Daten!$Z$2:$Z$393,LARGE((Daten!$A$2:$A$393='Material+Limits'!$P$18)*(ROW(Daten!$A$2:$A$393)-1),COUNTIF(Daten!$A$2:$A$393,'Material+Limits'!$P$18)+1-ROW(Daten!A2))),"")</f>
        <v/>
      </c>
      <c r="K107" t="str">
        <f t="array" aca="1" ref="K107" ca="1">IFERROR(INDEX(Daten!$AA$2:$AA$393,LARGE((Daten!$A$2:$A$393='Material+Limits'!$P$18)*(ROW(Daten!$A$2:$A$393)-1),COUNTIF(Daten!$A$2:$A$393,'Material+Limits'!$P$18)+1-ROW(Daten!A2))),"")</f>
        <v/>
      </c>
      <c r="L107" s="2" t="str">
        <f t="array" aca="1" ref="L107" ca="1">IFERROR(INDEX(Daten!$AC$2:$AC$393,LARGE((Daten!$A$2:$A$393='Material+Limits'!$P$18)*(ROW(Daten!$A$2:$A$393)-1),COUNTIF(Daten!$A$2:$A$393,'Material+Limits'!$P$18)+1-ROW(Daten!A2))),"")</f>
        <v/>
      </c>
      <c r="M107" t="str">
        <f t="array" aca="1" ref="M107" ca="1">IFERROR(INDEX(Daten!$AD$2:$AD$393,LARGE((Daten!$A$2:$A$393='Material+Limits'!$P$18)*(ROW(Daten!$A$2:$A$393)-1),COUNTIF(Daten!$A$2:$A$393,'Material+Limits'!$P$18)+1-ROW(Daten!A2))),"")</f>
        <v/>
      </c>
      <c r="N107" s="2" t="str">
        <f t="array" aca="1" ref="N107" ca="1">IFERROR(INDEX(Daten!$AI$2:$AI$393,LARGE((Daten!$A$2:$A$393='Material+Limits'!$P$18)*(ROW(Daten!$A$2:$A$393)-1),COUNTIF(Daten!$A$2:$A$393,'Material+Limits'!$P$18)+1-ROW(Daten!A2))),"")</f>
        <v/>
      </c>
      <c r="O107" t="str">
        <f t="array" aca="1" ref="O107" ca="1">IFERROR(INDEX(Daten!$AJ$2:$AJ$393,LARGE((Daten!$A$2:$A$393='Material+Limits'!$P$18)*(ROW(Daten!$A$2:$A$393)-1),COUNTIF(Daten!$A$2:$A$393,'Material+Limits'!$P$18)+1-ROW(Daten!A2))),"")</f>
        <v/>
      </c>
      <c r="P107" t="str">
        <f t="array" aca="1" ref="P107" ca="1">IFERROR(INDEX(Daten!$AM$2:$AM$393,LARGE((Daten!$A$2:$A$393='Material+Limits'!$P$18)*(ROW(Daten!$A$2:$A$393)-1),COUNTIF(Daten!$A$2:$A$393,'Material+Limits'!$P$18)+1-ROW(Daten!A2))),"")</f>
        <v/>
      </c>
      <c r="Q107" t="str">
        <f t="array" aca="1" ref="Q107" ca="1">IFERROR(INDEX(Daten!$AN$2:$AN$393,LARGE((Daten!$A$2:$A$393='Material+Limits'!$P$18)*(ROW(Daten!$A$2:$A$393)-1),COUNTIF(Daten!$A$2:$A$393,'Material+Limits'!$P$18)+1-ROW(Daten!A2))),"")</f>
        <v/>
      </c>
      <c r="R107" s="186" t="str">
        <f t="shared" ref="R107:R129" ca="1" si="1">IFERROR($I$58-L107,"")</f>
        <v/>
      </c>
      <c r="S107" s="186" t="str">
        <f t="shared" ref="S107:S129" ca="1" si="2">IFERROR(M107-$I$58,"")</f>
        <v/>
      </c>
    </row>
    <row r="108" spans="1:19" x14ac:dyDescent="0.25">
      <c r="A108" s="186" t="str">
        <f t="shared" ref="A108:A128" ca="1" si="3">IFERROR(LARGE(R108:S108,1)-SMALL(P108:Q108,1),"")</f>
        <v/>
      </c>
      <c r="B108" t="str">
        <f t="array" aca="1" ref="B108" ca="1">IFERROR(INDEX(Daten!$T$2:$T$393,LARGE((Daten!$A$2:$A$393='Material+Limits'!$P$18)*(ROW(Daten!$A$2:$A$393)-1),COUNTIF(Daten!$A$2:$A$393,'Material+Limits'!$P$18)+1-ROW(Daten!A3))),"")</f>
        <v/>
      </c>
      <c r="D108" t="str">
        <f t="array" aca="1" ref="D108" ca="1">IFERROR(INDEX(Daten!$AF$2:$AF$393,LARGE((Daten!$A$2:$A$393='Material+Limits'!$P$18)*(ROW(Daten!$A$2:$A$393)-1),COUNTIF(Daten!$A$2:$A$393,'Material+Limits'!$P$18)+1-ROW(Daten!A3))),"")</f>
        <v/>
      </c>
      <c r="E108" t="str">
        <f t="array" aca="1" ref="E108" ca="1">IFERROR(INDEX(Daten!$AE$2:$AE$393,LARGE((Daten!$A$2:$A$393='Material+Limits'!$P$18)*(ROW(Daten!$A$2:$A$393)-1),COUNTIF(Daten!$A$2:$A$393,'Material+Limits'!$P$18)+1-ROW(Daten!A3))),"")</f>
        <v/>
      </c>
      <c r="F108" t="str">
        <f t="array" aca="1" ref="F108" ca="1">IFERROR(INDEX(Daten!$AG$2:$AG$393,LARGE((Daten!$A$2:$A$393='Material+Limits'!$P$18)*(ROW(Daten!$A$2:$A$393)-1),COUNTIF(Daten!$A$2:$A$393,'Material+Limits'!$P$18)+1-ROW(Daten!A3))),"")</f>
        <v/>
      </c>
      <c r="H108" t="str">
        <f t="array" aca="1" ref="H108" ca="1">IFERROR(INDEX(Daten!$AH$2:$AH$393,LARGE((Daten!$A$2:$A$393='Material+Limits'!$P$18)*(ROW(Daten!$A$2:$A$393)-1),COUNTIF(Daten!$A$2:$A$393,'Material+Limits'!$P$18)+1-ROW(Daten!A3))),"")</f>
        <v/>
      </c>
      <c r="J108" t="str">
        <f t="array" aca="1" ref="J108" ca="1">IFERROR(INDEX(Daten!$Z$2:$Z$393,LARGE((Daten!$A$2:$A$393='Material+Limits'!$P$18)*(ROW(Daten!$A$2:$A$393)-1),COUNTIF(Daten!$A$2:$A$393,'Material+Limits'!$P$18)+1-ROW(Daten!A3))),"")</f>
        <v/>
      </c>
      <c r="K108" t="str">
        <f t="array" aca="1" ref="K108" ca="1">IFERROR(INDEX(Daten!$AA$2:$AA$393,LARGE((Daten!$A$2:$A$393='Material+Limits'!$P$18)*(ROW(Daten!$A$2:$A$393)-1),COUNTIF(Daten!$A$2:$A$393,'Material+Limits'!$P$18)+1-ROW(Daten!A3))),"")</f>
        <v/>
      </c>
      <c r="L108" s="2" t="str">
        <f t="array" aca="1" ref="L108" ca="1">IFERROR(INDEX(Daten!$AC$2:$AC$393,LARGE((Daten!$A$2:$A$393='Material+Limits'!$P$18)*(ROW(Daten!$A$2:$A$393)-1),COUNTIF(Daten!$A$2:$A$393,'Material+Limits'!$P$18)+1-ROW(Daten!A3))),"")</f>
        <v/>
      </c>
      <c r="M108" t="str">
        <f t="array" aca="1" ref="M108" ca="1">IFERROR(INDEX(Daten!$AD$2:$AD$393,LARGE((Daten!$A$2:$A$393='Material+Limits'!$P$18)*(ROW(Daten!$A$2:$A$393)-1),COUNTIF(Daten!$A$2:$A$393,'Material+Limits'!$P$18)+1-ROW(Daten!A3))),"")</f>
        <v/>
      </c>
      <c r="N108" s="2" t="str">
        <f t="array" aca="1" ref="N108" ca="1">IFERROR(INDEX(Daten!$AI$2:$AI$393,LARGE((Daten!$A$2:$A$393='Material+Limits'!$P$18)*(ROW(Daten!$A$2:$A$393)-1),COUNTIF(Daten!$A$2:$A$393,'Material+Limits'!$P$18)+1-ROW(Daten!A3))),"")</f>
        <v/>
      </c>
      <c r="O108" t="str">
        <f t="array" aca="1" ref="O108" ca="1">IFERROR(INDEX(Daten!$AJ$2:$AJ$393,LARGE((Daten!$A$2:$A$393='Material+Limits'!$P$18)*(ROW(Daten!$A$2:$A$393)-1),COUNTIF(Daten!$A$2:$A$393,'Material+Limits'!$P$18)+1-ROW(Daten!A3))),"")</f>
        <v/>
      </c>
      <c r="P108" t="str">
        <f t="array" aca="1" ref="P108" ca="1">IFERROR(INDEX(Daten!$AM$2:$AM$393,LARGE((Daten!$A$2:$A$393='Material+Limits'!$P$18)*(ROW(Daten!$A$2:$A$393)-1),COUNTIF(Daten!$A$2:$A$393,'Material+Limits'!$P$18)+1-ROW(Daten!A3))),"")</f>
        <v/>
      </c>
      <c r="Q108" t="str">
        <f t="array" aca="1" ref="Q108" ca="1">IFERROR(INDEX(Daten!$AN$2:$AN$393,LARGE((Daten!$A$2:$A$393='Material+Limits'!$P$18)*(ROW(Daten!$A$2:$A$393)-1),COUNTIF(Daten!$A$2:$A$393,'Material+Limits'!$P$18)+1-ROW(Daten!A3))),"")</f>
        <v/>
      </c>
      <c r="R108" s="186" t="str">
        <f t="shared" ca="1" si="1"/>
        <v/>
      </c>
      <c r="S108" s="186" t="str">
        <f t="shared" ca="1" si="2"/>
        <v/>
      </c>
    </row>
    <row r="109" spans="1:19" x14ac:dyDescent="0.25">
      <c r="A109" s="186" t="str">
        <f t="shared" ca="1" si="3"/>
        <v/>
      </c>
      <c r="B109" t="str">
        <f t="array" aca="1" ref="B109" ca="1">IFERROR(INDEX(Daten!$T$2:$T$393,LARGE((Daten!$A$2:$A$393='Material+Limits'!$P$18)*(ROW(Daten!$A$2:$A$393)-1),COUNTIF(Daten!$A$2:$A$393,'Material+Limits'!$P$18)+1-ROW(Daten!A4))),"")</f>
        <v/>
      </c>
      <c r="D109" t="str">
        <f t="array" aca="1" ref="D109" ca="1">IFERROR(INDEX(Daten!$AF$2:$AF$393,LARGE((Daten!$A$2:$A$393='Material+Limits'!$P$18)*(ROW(Daten!$A$2:$A$393)-1),COUNTIF(Daten!$A$2:$A$393,'Material+Limits'!$P$18)+1-ROW(Daten!A4))),"")</f>
        <v/>
      </c>
      <c r="E109" t="str">
        <f t="array" aca="1" ref="E109" ca="1">IFERROR(INDEX(Daten!$AE$2:$AE$393,LARGE((Daten!$A$2:$A$393='Material+Limits'!$P$18)*(ROW(Daten!$A$2:$A$393)-1),COUNTIF(Daten!$A$2:$A$393,'Material+Limits'!$P$18)+1-ROW(Daten!A4))),"")</f>
        <v/>
      </c>
      <c r="F109" t="str">
        <f t="array" aca="1" ref="F109" ca="1">IFERROR(INDEX(Daten!$AG$2:$AG$393,LARGE((Daten!$A$2:$A$393='Material+Limits'!$P$18)*(ROW(Daten!$A$2:$A$393)-1),COUNTIF(Daten!$A$2:$A$393,'Material+Limits'!$P$18)+1-ROW(Daten!A4))),"")</f>
        <v/>
      </c>
      <c r="H109" t="str">
        <f t="array" aca="1" ref="H109" ca="1">IFERROR(INDEX(Daten!$AH$2:$AH$393,LARGE((Daten!$A$2:$A$393='Material+Limits'!$P$18)*(ROW(Daten!$A$2:$A$393)-1),COUNTIF(Daten!$A$2:$A$393,'Material+Limits'!$P$18)+1-ROW(Daten!A4))),"")</f>
        <v/>
      </c>
      <c r="J109" t="str">
        <f t="array" aca="1" ref="J109" ca="1">IFERROR(INDEX(Daten!$Z$2:$Z$393,LARGE((Daten!$A$2:$A$393='Material+Limits'!$P$18)*(ROW(Daten!$A$2:$A$393)-1),COUNTIF(Daten!$A$2:$A$393,'Material+Limits'!$P$18)+1-ROW(Daten!A4))),"")</f>
        <v/>
      </c>
      <c r="K109" t="str">
        <f t="array" aca="1" ref="K109" ca="1">IFERROR(INDEX(Daten!$AA$2:$AA$393,LARGE((Daten!$A$2:$A$393='Material+Limits'!$P$18)*(ROW(Daten!$A$2:$A$393)-1),COUNTIF(Daten!$A$2:$A$393,'Material+Limits'!$P$18)+1-ROW(Daten!A4))),"")</f>
        <v/>
      </c>
      <c r="L109" s="2" t="str">
        <f t="array" aca="1" ref="L109" ca="1">IFERROR(INDEX(Daten!$AC$2:$AC$393,LARGE((Daten!$A$2:$A$393='Material+Limits'!$P$18)*(ROW(Daten!$A$2:$A$393)-1),COUNTIF(Daten!$A$2:$A$393,'Material+Limits'!$P$18)+1-ROW(Daten!A4))),"")</f>
        <v/>
      </c>
      <c r="M109" t="str">
        <f t="array" aca="1" ref="M109" ca="1">IFERROR(INDEX(Daten!$AD$2:$AD$393,LARGE((Daten!$A$2:$A$393='Material+Limits'!$P$18)*(ROW(Daten!$A$2:$A$393)-1),COUNTIF(Daten!$A$2:$A$393,'Material+Limits'!$P$18)+1-ROW(Daten!A4))),"")</f>
        <v/>
      </c>
      <c r="N109" s="2" t="str">
        <f t="array" aca="1" ref="N109" ca="1">IFERROR(INDEX(Daten!$AI$2:$AI$393,LARGE((Daten!$A$2:$A$393='Material+Limits'!$P$18)*(ROW(Daten!$A$2:$A$393)-1),COUNTIF(Daten!$A$2:$A$393,'Material+Limits'!$P$18)+1-ROW(Daten!A4))),"")</f>
        <v/>
      </c>
      <c r="O109" t="str">
        <f t="array" aca="1" ref="O109" ca="1">IFERROR(INDEX(Daten!$AJ$2:$AJ$393,LARGE((Daten!$A$2:$A$393='Material+Limits'!$P$18)*(ROW(Daten!$A$2:$A$393)-1),COUNTIF(Daten!$A$2:$A$393,'Material+Limits'!$P$18)+1-ROW(Daten!A4))),"")</f>
        <v/>
      </c>
      <c r="P109" t="str">
        <f t="array" aca="1" ref="P109" ca="1">IFERROR(INDEX(Daten!$AM$2:$AM$393,LARGE((Daten!$A$2:$A$393='Material+Limits'!$P$18)*(ROW(Daten!$A$2:$A$393)-1),COUNTIF(Daten!$A$2:$A$393,'Material+Limits'!$P$18)+1-ROW(Daten!A4))),"")</f>
        <v/>
      </c>
      <c r="Q109" t="str">
        <f t="array" aca="1" ref="Q109" ca="1">IFERROR(INDEX(Daten!$AN$2:$AN$393,LARGE((Daten!$A$2:$A$393='Material+Limits'!$P$18)*(ROW(Daten!$A$2:$A$393)-1),COUNTIF(Daten!$A$2:$A$393,'Material+Limits'!$P$18)+1-ROW(Daten!A4))),"")</f>
        <v/>
      </c>
      <c r="R109" s="186" t="str">
        <f t="shared" ca="1" si="1"/>
        <v/>
      </c>
      <c r="S109" s="186" t="str">
        <f t="shared" ca="1" si="2"/>
        <v/>
      </c>
    </row>
    <row r="110" spans="1:19" x14ac:dyDescent="0.25">
      <c r="A110" s="186" t="str">
        <f t="shared" ca="1" si="3"/>
        <v/>
      </c>
      <c r="B110" t="str">
        <f t="array" aca="1" ref="B110" ca="1">IFERROR(INDEX(Daten!$T$2:$T$393,LARGE((Daten!$A$2:$A$393='Material+Limits'!$P$18)*(ROW(Daten!$A$2:$A$393)-1),COUNTIF(Daten!$A$2:$A$393,'Material+Limits'!$P$18)+1-ROW(Daten!A5))),"")</f>
        <v/>
      </c>
      <c r="D110" t="str">
        <f t="array" aca="1" ref="D110" ca="1">IFERROR(INDEX(Daten!$AF$2:$AF$393,LARGE((Daten!$A$2:$A$393='Material+Limits'!$P$18)*(ROW(Daten!$A$2:$A$393)-1),COUNTIF(Daten!$A$2:$A$393,'Material+Limits'!$P$18)+1-ROW(Daten!A5))),"")</f>
        <v/>
      </c>
      <c r="E110" t="str">
        <f t="array" aca="1" ref="E110" ca="1">IFERROR(INDEX(Daten!$AE$2:$AE$393,LARGE((Daten!$A$2:$A$393='Material+Limits'!$P$18)*(ROW(Daten!$A$2:$A$393)-1),COUNTIF(Daten!$A$2:$A$393,'Material+Limits'!$P$18)+1-ROW(Daten!A5))),"")</f>
        <v/>
      </c>
      <c r="F110" t="str">
        <f t="array" aca="1" ref="F110" ca="1">IFERROR(INDEX(Daten!$AG$2:$AG$393,LARGE((Daten!$A$2:$A$393='Material+Limits'!$P$18)*(ROW(Daten!$A$2:$A$393)-1),COUNTIF(Daten!$A$2:$A$393,'Material+Limits'!$P$18)+1-ROW(Daten!A5))),"")</f>
        <v/>
      </c>
      <c r="H110" t="str">
        <f t="array" aca="1" ref="H110" ca="1">IFERROR(INDEX(Daten!$AH$2:$AH$393,LARGE((Daten!$A$2:$A$393='Material+Limits'!$P$18)*(ROW(Daten!$A$2:$A$393)-1),COUNTIF(Daten!$A$2:$A$393,'Material+Limits'!$P$18)+1-ROW(Daten!A5))),"")</f>
        <v/>
      </c>
      <c r="J110" t="str">
        <f t="array" aca="1" ref="J110" ca="1">IFERROR(INDEX(Daten!$Z$2:$Z$393,LARGE((Daten!$A$2:$A$393='Material+Limits'!$P$18)*(ROW(Daten!$A$2:$A$393)-1),COUNTIF(Daten!$A$2:$A$393,'Material+Limits'!$P$18)+1-ROW(Daten!A5))),"")</f>
        <v/>
      </c>
      <c r="K110" t="str">
        <f t="array" aca="1" ref="K110" ca="1">IFERROR(INDEX(Daten!$AA$2:$AA$393,LARGE((Daten!$A$2:$A$393='Material+Limits'!$P$18)*(ROW(Daten!$A$2:$A$393)-1),COUNTIF(Daten!$A$2:$A$393,'Material+Limits'!$P$18)+1-ROW(Daten!A5))),"")</f>
        <v/>
      </c>
      <c r="L110" s="2" t="str">
        <f t="array" aca="1" ref="L110" ca="1">IFERROR(INDEX(Daten!$AC$2:$AC$393,LARGE((Daten!$A$2:$A$393='Material+Limits'!$P$18)*(ROW(Daten!$A$2:$A$393)-1),COUNTIF(Daten!$A$2:$A$393,'Material+Limits'!$P$18)+1-ROW(Daten!A5))),"")</f>
        <v/>
      </c>
      <c r="M110" t="str">
        <f t="array" aca="1" ref="M110" ca="1">IFERROR(INDEX(Daten!$AD$2:$AD$393,LARGE((Daten!$A$2:$A$393='Material+Limits'!$P$18)*(ROW(Daten!$A$2:$A$393)-1),COUNTIF(Daten!$A$2:$A$393,'Material+Limits'!$P$18)+1-ROW(Daten!A5))),"")</f>
        <v/>
      </c>
      <c r="N110" s="2" t="str">
        <f t="array" aca="1" ref="N110" ca="1">IFERROR(INDEX(Daten!$AI$2:$AI$393,LARGE((Daten!$A$2:$A$393='Material+Limits'!$P$18)*(ROW(Daten!$A$2:$A$393)-1),COUNTIF(Daten!$A$2:$A$393,'Material+Limits'!$P$18)+1-ROW(Daten!A5))),"")</f>
        <v/>
      </c>
      <c r="O110" t="str">
        <f t="array" aca="1" ref="O110" ca="1">IFERROR(INDEX(Daten!$AJ$2:$AJ$393,LARGE((Daten!$A$2:$A$393='Material+Limits'!$P$18)*(ROW(Daten!$A$2:$A$393)-1),COUNTIF(Daten!$A$2:$A$393,'Material+Limits'!$P$18)+1-ROW(Daten!A5))),"")</f>
        <v/>
      </c>
      <c r="P110" t="str">
        <f t="array" aca="1" ref="P110" ca="1">IFERROR(INDEX(Daten!$AM$2:$AM$393,LARGE((Daten!$A$2:$A$393='Material+Limits'!$P$18)*(ROW(Daten!$A$2:$A$393)-1),COUNTIF(Daten!$A$2:$A$393,'Material+Limits'!$P$18)+1-ROW(Daten!A5))),"")</f>
        <v/>
      </c>
      <c r="Q110" t="str">
        <f t="array" aca="1" ref="Q110" ca="1">IFERROR(INDEX(Daten!$AN$2:$AN$393,LARGE((Daten!$A$2:$A$393='Material+Limits'!$P$18)*(ROW(Daten!$A$2:$A$393)-1),COUNTIF(Daten!$A$2:$A$393,'Material+Limits'!$P$18)+1-ROW(Daten!A5))),"")</f>
        <v/>
      </c>
      <c r="R110" s="186" t="str">
        <f t="shared" ca="1" si="1"/>
        <v/>
      </c>
      <c r="S110" s="186" t="str">
        <f t="shared" ca="1" si="2"/>
        <v/>
      </c>
    </row>
    <row r="111" spans="1:19" x14ac:dyDescent="0.25">
      <c r="A111" s="186" t="str">
        <f t="shared" ca="1" si="3"/>
        <v/>
      </c>
      <c r="B111" t="str">
        <f t="array" aca="1" ref="B111" ca="1">IFERROR(INDEX(Daten!$T$2:$T$393,LARGE((Daten!$A$2:$A$393='Material+Limits'!$P$18)*(ROW(Daten!$A$2:$A$393)-1),COUNTIF(Daten!$A$2:$A$393,'Material+Limits'!$P$18)+1-ROW(Daten!A6))),"")</f>
        <v/>
      </c>
      <c r="D111" t="str">
        <f t="array" aca="1" ref="D111" ca="1">IFERROR(INDEX(Daten!$AF$2:$AF$393,LARGE((Daten!$A$2:$A$393='Material+Limits'!$P$18)*(ROW(Daten!$A$2:$A$393)-1),COUNTIF(Daten!$A$2:$A$393,'Material+Limits'!$P$18)+1-ROW(Daten!A6))),"")</f>
        <v/>
      </c>
      <c r="E111" t="str">
        <f t="array" aca="1" ref="E111" ca="1">IFERROR(INDEX(Daten!$AE$2:$AE$393,LARGE((Daten!$A$2:$A$393='Material+Limits'!$P$18)*(ROW(Daten!$A$2:$A$393)-1),COUNTIF(Daten!$A$2:$A$393,'Material+Limits'!$P$18)+1-ROW(Daten!A6))),"")</f>
        <v/>
      </c>
      <c r="F111" t="str">
        <f t="array" aca="1" ref="F111" ca="1">IFERROR(INDEX(Daten!$AG$2:$AG$393,LARGE((Daten!$A$2:$A$393='Material+Limits'!$P$18)*(ROW(Daten!$A$2:$A$393)-1),COUNTIF(Daten!$A$2:$A$393,'Material+Limits'!$P$18)+1-ROW(Daten!A6))),"")</f>
        <v/>
      </c>
      <c r="H111" t="str">
        <f t="array" aca="1" ref="H111" ca="1">IFERROR(INDEX(Daten!$AH$2:$AH$393,LARGE((Daten!$A$2:$A$393='Material+Limits'!$P$18)*(ROW(Daten!$A$2:$A$393)-1),COUNTIF(Daten!$A$2:$A$393,'Material+Limits'!$P$18)+1-ROW(Daten!A6))),"")</f>
        <v/>
      </c>
      <c r="J111" t="str">
        <f t="array" aca="1" ref="J111" ca="1">IFERROR(INDEX(Daten!$Z$2:$Z$393,LARGE((Daten!$A$2:$A$393='Material+Limits'!$P$18)*(ROW(Daten!$A$2:$A$393)-1),COUNTIF(Daten!$A$2:$A$393,'Material+Limits'!$P$18)+1-ROW(Daten!A6))),"")</f>
        <v/>
      </c>
      <c r="K111" t="str">
        <f t="array" aca="1" ref="K111" ca="1">IFERROR(INDEX(Daten!$AA$2:$AA$393,LARGE((Daten!$A$2:$A$393='Material+Limits'!$P$18)*(ROW(Daten!$A$2:$A$393)-1),COUNTIF(Daten!$A$2:$A$393,'Material+Limits'!$P$18)+1-ROW(Daten!A6))),"")</f>
        <v/>
      </c>
      <c r="L111" s="2" t="str">
        <f t="array" aca="1" ref="L111" ca="1">IFERROR(INDEX(Daten!$AC$2:$AC$393,LARGE((Daten!$A$2:$A$393='Material+Limits'!$P$18)*(ROW(Daten!$A$2:$A$393)-1),COUNTIF(Daten!$A$2:$A$393,'Material+Limits'!$P$18)+1-ROW(Daten!A6))),"")</f>
        <v/>
      </c>
      <c r="M111" t="str">
        <f t="array" aca="1" ref="M111" ca="1">IFERROR(INDEX(Daten!$AD$2:$AD$393,LARGE((Daten!$A$2:$A$393='Material+Limits'!$P$18)*(ROW(Daten!$A$2:$A$393)-1),COUNTIF(Daten!$A$2:$A$393,'Material+Limits'!$P$18)+1-ROW(Daten!A6))),"")</f>
        <v/>
      </c>
      <c r="N111" s="2" t="str">
        <f t="array" aca="1" ref="N111" ca="1">IFERROR(INDEX(Daten!$AI$2:$AI$393,LARGE((Daten!$A$2:$A$393='Material+Limits'!$P$18)*(ROW(Daten!$A$2:$A$393)-1),COUNTIF(Daten!$A$2:$A$393,'Material+Limits'!$P$18)+1-ROW(Daten!A6))),"")</f>
        <v/>
      </c>
      <c r="O111" t="str">
        <f t="array" aca="1" ref="O111" ca="1">IFERROR(INDEX(Daten!$AJ$2:$AJ$393,LARGE((Daten!$A$2:$A$393='Material+Limits'!$P$18)*(ROW(Daten!$A$2:$A$393)-1),COUNTIF(Daten!$A$2:$A$393,'Material+Limits'!$P$18)+1-ROW(Daten!A6))),"")</f>
        <v/>
      </c>
      <c r="P111" t="str">
        <f t="array" aca="1" ref="P111" ca="1">IFERROR(INDEX(Daten!$AM$2:$AM$393,LARGE((Daten!$A$2:$A$393='Material+Limits'!$P$18)*(ROW(Daten!$A$2:$A$393)-1),COUNTIF(Daten!$A$2:$A$393,'Material+Limits'!$P$18)+1-ROW(Daten!A6))),"")</f>
        <v/>
      </c>
      <c r="Q111" t="str">
        <f t="array" aca="1" ref="Q111" ca="1">IFERROR(INDEX(Daten!$AN$2:$AN$393,LARGE((Daten!$A$2:$A$393='Material+Limits'!$P$18)*(ROW(Daten!$A$2:$A$393)-1),COUNTIF(Daten!$A$2:$A$393,'Material+Limits'!$P$18)+1-ROW(Daten!A6))),"")</f>
        <v/>
      </c>
      <c r="R111" s="186" t="str">
        <f t="shared" ca="1" si="1"/>
        <v/>
      </c>
      <c r="S111" s="186" t="str">
        <f t="shared" ca="1" si="2"/>
        <v/>
      </c>
    </row>
    <row r="112" spans="1:19" x14ac:dyDescent="0.25">
      <c r="A112" s="186" t="str">
        <f t="shared" ca="1" si="3"/>
        <v/>
      </c>
      <c r="B112" t="str">
        <f t="array" aca="1" ref="B112" ca="1">IFERROR(INDEX(Daten!$T$2:$T$393,LARGE((Daten!$A$2:$A$393='Material+Limits'!$P$18)*(ROW(Daten!$A$2:$A$393)-1),COUNTIF(Daten!$A$2:$A$393,'Material+Limits'!$P$18)+1-ROW(Daten!A7))),"")</f>
        <v/>
      </c>
      <c r="D112" t="str">
        <f t="array" aca="1" ref="D112" ca="1">IFERROR(INDEX(Daten!$AF$2:$AF$393,LARGE((Daten!$A$2:$A$393='Material+Limits'!$P$18)*(ROW(Daten!$A$2:$A$393)-1),COUNTIF(Daten!$A$2:$A$393,'Material+Limits'!$P$18)+1-ROW(Daten!A7))),"")</f>
        <v/>
      </c>
      <c r="E112" t="str">
        <f t="array" aca="1" ref="E112" ca="1">IFERROR(INDEX(Daten!$AE$2:$AE$393,LARGE((Daten!$A$2:$A$393='Material+Limits'!$P$18)*(ROW(Daten!$A$2:$A$393)-1),COUNTIF(Daten!$A$2:$A$393,'Material+Limits'!$P$18)+1-ROW(Daten!A7))),"")</f>
        <v/>
      </c>
      <c r="F112" t="str">
        <f t="array" aca="1" ref="F112" ca="1">IFERROR(INDEX(Daten!$AG$2:$AG$393,LARGE((Daten!$A$2:$A$393='Material+Limits'!$P$18)*(ROW(Daten!$A$2:$A$393)-1),COUNTIF(Daten!$A$2:$A$393,'Material+Limits'!$P$18)+1-ROW(Daten!A7))),"")</f>
        <v/>
      </c>
      <c r="H112" t="str">
        <f t="array" aca="1" ref="H112" ca="1">IFERROR(INDEX(Daten!$AH$2:$AH$393,LARGE((Daten!$A$2:$A$393='Material+Limits'!$P$18)*(ROW(Daten!$A$2:$A$393)-1),COUNTIF(Daten!$A$2:$A$393,'Material+Limits'!$P$18)+1-ROW(Daten!A7))),"")</f>
        <v/>
      </c>
      <c r="J112" t="str">
        <f t="array" aca="1" ref="J112" ca="1">IFERROR(INDEX(Daten!$Z$2:$Z$393,LARGE((Daten!$A$2:$A$393='Material+Limits'!$P$18)*(ROW(Daten!$A$2:$A$393)-1),COUNTIF(Daten!$A$2:$A$393,'Material+Limits'!$P$18)+1-ROW(Daten!A7))),"")</f>
        <v/>
      </c>
      <c r="K112" t="str">
        <f t="array" aca="1" ref="K112" ca="1">IFERROR(INDEX(Daten!$AA$2:$AA$393,LARGE((Daten!$A$2:$A$393='Material+Limits'!$P$18)*(ROW(Daten!$A$2:$A$393)-1),COUNTIF(Daten!$A$2:$A$393,'Material+Limits'!$P$18)+1-ROW(Daten!A7))),"")</f>
        <v/>
      </c>
      <c r="L112" s="2" t="str">
        <f t="array" aca="1" ref="L112" ca="1">IFERROR(INDEX(Daten!$AC$2:$AC$393,LARGE((Daten!$A$2:$A$393='Material+Limits'!$P$18)*(ROW(Daten!$A$2:$A$393)-1),COUNTIF(Daten!$A$2:$A$393,'Material+Limits'!$P$18)+1-ROW(Daten!A7))),"")</f>
        <v/>
      </c>
      <c r="M112" t="str">
        <f t="array" aca="1" ref="M112" ca="1">IFERROR(INDEX(Daten!$AD$2:$AD$393,LARGE((Daten!$A$2:$A$393='Material+Limits'!$P$18)*(ROW(Daten!$A$2:$A$393)-1),COUNTIF(Daten!$A$2:$A$393,'Material+Limits'!$P$18)+1-ROW(Daten!A7))),"")</f>
        <v/>
      </c>
      <c r="N112" s="2" t="str">
        <f t="array" aca="1" ref="N112" ca="1">IFERROR(INDEX(Daten!$AI$2:$AI$393,LARGE((Daten!$A$2:$A$393='Material+Limits'!$P$18)*(ROW(Daten!$A$2:$A$393)-1),COUNTIF(Daten!$A$2:$A$393,'Material+Limits'!$P$18)+1-ROW(Daten!A7))),"")</f>
        <v/>
      </c>
      <c r="O112" t="str">
        <f t="array" aca="1" ref="O112" ca="1">IFERROR(INDEX(Daten!$AJ$2:$AJ$393,LARGE((Daten!$A$2:$A$393='Material+Limits'!$P$18)*(ROW(Daten!$A$2:$A$393)-1),COUNTIF(Daten!$A$2:$A$393,'Material+Limits'!$P$18)+1-ROW(Daten!A7))),"")</f>
        <v/>
      </c>
      <c r="P112" t="str">
        <f t="array" aca="1" ref="P112" ca="1">IFERROR(INDEX(Daten!$AM$2:$AM$393,LARGE((Daten!$A$2:$A$393='Material+Limits'!$P$18)*(ROW(Daten!$A$2:$A$393)-1),COUNTIF(Daten!$A$2:$A$393,'Material+Limits'!$P$18)+1-ROW(Daten!A7))),"")</f>
        <v/>
      </c>
      <c r="Q112" t="str">
        <f t="array" aca="1" ref="Q112" ca="1">IFERROR(INDEX(Daten!$AN$2:$AN$393,LARGE((Daten!$A$2:$A$393='Material+Limits'!$P$18)*(ROW(Daten!$A$2:$A$393)-1),COUNTIF(Daten!$A$2:$A$393,'Material+Limits'!$P$18)+1-ROW(Daten!A7))),"")</f>
        <v/>
      </c>
      <c r="R112" s="186" t="str">
        <f t="shared" ca="1" si="1"/>
        <v/>
      </c>
      <c r="S112" s="186" t="str">
        <f t="shared" ca="1" si="2"/>
        <v/>
      </c>
    </row>
    <row r="113" spans="1:19" x14ac:dyDescent="0.25">
      <c r="A113" s="186" t="str">
        <f t="shared" ca="1" si="3"/>
        <v/>
      </c>
      <c r="B113" t="str">
        <f t="array" aca="1" ref="B113" ca="1">IFERROR(INDEX(Daten!$T$2:$T$393,LARGE((Daten!$A$2:$A$393='Material+Limits'!$P$18)*(ROW(Daten!$A$2:$A$393)-1),COUNTIF(Daten!$A$2:$A$393,'Material+Limits'!$P$18)+1-ROW(Daten!A8))),"")</f>
        <v/>
      </c>
      <c r="D113" t="str">
        <f t="array" aca="1" ref="D113" ca="1">IFERROR(INDEX(Daten!$AF$2:$AF$393,LARGE((Daten!$A$2:$A$393='Material+Limits'!$P$18)*(ROW(Daten!$A$2:$A$393)-1),COUNTIF(Daten!$A$2:$A$393,'Material+Limits'!$P$18)+1-ROW(Daten!A8))),"")</f>
        <v/>
      </c>
      <c r="E113" t="str">
        <f t="array" aca="1" ref="E113" ca="1">IFERROR(INDEX(Daten!$AE$2:$AE$393,LARGE((Daten!$A$2:$A$393='Material+Limits'!$P$18)*(ROW(Daten!$A$2:$A$393)-1),COUNTIF(Daten!$A$2:$A$393,'Material+Limits'!$P$18)+1-ROW(Daten!A8))),"")</f>
        <v/>
      </c>
      <c r="F113" t="str">
        <f t="array" aca="1" ref="F113" ca="1">IFERROR(INDEX(Daten!$AG$2:$AG$393,LARGE((Daten!$A$2:$A$393='Material+Limits'!$P$18)*(ROW(Daten!$A$2:$A$393)-1),COUNTIF(Daten!$A$2:$A$393,'Material+Limits'!$P$18)+1-ROW(Daten!A8))),"")</f>
        <v/>
      </c>
      <c r="H113" t="str">
        <f t="array" aca="1" ref="H113" ca="1">IFERROR(INDEX(Daten!$AH$2:$AH$393,LARGE((Daten!$A$2:$A$393='Material+Limits'!$P$18)*(ROW(Daten!$A$2:$A$393)-1),COUNTIF(Daten!$A$2:$A$393,'Material+Limits'!$P$18)+1-ROW(Daten!A8))),"")</f>
        <v/>
      </c>
      <c r="J113" t="str">
        <f t="array" aca="1" ref="J113" ca="1">IFERROR(INDEX(Daten!$Z$2:$Z$393,LARGE((Daten!$A$2:$A$393='Material+Limits'!$P$18)*(ROW(Daten!$A$2:$A$393)-1),COUNTIF(Daten!$A$2:$A$393,'Material+Limits'!$P$18)+1-ROW(Daten!A8))),"")</f>
        <v/>
      </c>
      <c r="K113" t="str">
        <f t="array" aca="1" ref="K113" ca="1">IFERROR(INDEX(Daten!$AA$2:$AA$393,LARGE((Daten!$A$2:$A$393='Material+Limits'!$P$18)*(ROW(Daten!$A$2:$A$393)-1),COUNTIF(Daten!$A$2:$A$393,'Material+Limits'!$P$18)+1-ROW(Daten!A8))),"")</f>
        <v/>
      </c>
      <c r="L113" s="2" t="str">
        <f t="array" aca="1" ref="L113" ca="1">IFERROR(INDEX(Daten!$AC$2:$AC$393,LARGE((Daten!$A$2:$A$393='Material+Limits'!$P$18)*(ROW(Daten!$A$2:$A$393)-1),COUNTIF(Daten!$A$2:$A$393,'Material+Limits'!$P$18)+1-ROW(Daten!A8))),"")</f>
        <v/>
      </c>
      <c r="M113" t="str">
        <f t="array" aca="1" ref="M113" ca="1">IFERROR(INDEX(Daten!$AD$2:$AD$393,LARGE((Daten!$A$2:$A$393='Material+Limits'!$P$18)*(ROW(Daten!$A$2:$A$393)-1),COUNTIF(Daten!$A$2:$A$393,'Material+Limits'!$P$18)+1-ROW(Daten!A8))),"")</f>
        <v/>
      </c>
      <c r="N113" s="2" t="str">
        <f t="array" aca="1" ref="N113" ca="1">IFERROR(INDEX(Daten!$AI$2:$AI$393,LARGE((Daten!$A$2:$A$393='Material+Limits'!$P$18)*(ROW(Daten!$A$2:$A$393)-1),COUNTIF(Daten!$A$2:$A$393,'Material+Limits'!$P$18)+1-ROW(Daten!A8))),"")</f>
        <v/>
      </c>
      <c r="O113" t="str">
        <f t="array" aca="1" ref="O113" ca="1">IFERROR(INDEX(Daten!$AJ$2:$AJ$393,LARGE((Daten!$A$2:$A$393='Material+Limits'!$P$18)*(ROW(Daten!$A$2:$A$393)-1),COUNTIF(Daten!$A$2:$A$393,'Material+Limits'!$P$18)+1-ROW(Daten!A8))),"")</f>
        <v/>
      </c>
      <c r="P113" t="str">
        <f t="array" aca="1" ref="P113" ca="1">IFERROR(INDEX(Daten!$AM$2:$AM$393,LARGE((Daten!$A$2:$A$393='Material+Limits'!$P$18)*(ROW(Daten!$A$2:$A$393)-1),COUNTIF(Daten!$A$2:$A$393,'Material+Limits'!$P$18)+1-ROW(Daten!A8))),"")</f>
        <v/>
      </c>
      <c r="Q113" t="str">
        <f t="array" aca="1" ref="Q113" ca="1">IFERROR(INDEX(Daten!$AN$2:$AN$393,LARGE((Daten!$A$2:$A$393='Material+Limits'!$P$18)*(ROW(Daten!$A$2:$A$393)-1),COUNTIF(Daten!$A$2:$A$393,'Material+Limits'!$P$18)+1-ROW(Daten!A8))),"")</f>
        <v/>
      </c>
      <c r="R113" s="186" t="str">
        <f t="shared" ca="1" si="1"/>
        <v/>
      </c>
      <c r="S113" s="186" t="str">
        <f t="shared" ca="1" si="2"/>
        <v/>
      </c>
    </row>
    <row r="114" spans="1:19" x14ac:dyDescent="0.25">
      <c r="A114" s="186" t="str">
        <f t="shared" ca="1" si="3"/>
        <v/>
      </c>
      <c r="B114" t="str">
        <f t="array" aca="1" ref="B114" ca="1">IFERROR(INDEX(Daten!$T$2:$T$393,LARGE((Daten!$A$2:$A$393='Material+Limits'!$P$18)*(ROW(Daten!$A$2:$A$393)-1),COUNTIF(Daten!$A$2:$A$393,'Material+Limits'!$P$18)+1-ROW(Daten!A9))),"")</f>
        <v/>
      </c>
      <c r="D114" t="str">
        <f t="array" aca="1" ref="D114" ca="1">IFERROR(INDEX(Daten!$AF$2:$AF$393,LARGE((Daten!$A$2:$A$393='Material+Limits'!$P$18)*(ROW(Daten!$A$2:$A$393)-1),COUNTIF(Daten!$A$2:$A$393,'Material+Limits'!$P$18)+1-ROW(Daten!A9))),"")</f>
        <v/>
      </c>
      <c r="E114" t="str">
        <f t="array" aca="1" ref="E114" ca="1">IFERROR(INDEX(Daten!$AE$2:$AE$393,LARGE((Daten!$A$2:$A$393='Material+Limits'!$P$18)*(ROW(Daten!$A$2:$A$393)-1),COUNTIF(Daten!$A$2:$A$393,'Material+Limits'!$P$18)+1-ROW(Daten!A9))),"")</f>
        <v/>
      </c>
      <c r="F114" t="str">
        <f t="array" aca="1" ref="F114" ca="1">IFERROR(INDEX(Daten!$AG$2:$AG$393,LARGE((Daten!$A$2:$A$393='Material+Limits'!$P$18)*(ROW(Daten!$A$2:$A$393)-1),COUNTIF(Daten!$A$2:$A$393,'Material+Limits'!$P$18)+1-ROW(Daten!A9))),"")</f>
        <v/>
      </c>
      <c r="H114" t="str">
        <f t="array" aca="1" ref="H114" ca="1">IFERROR(INDEX(Daten!$AH$2:$AH$393,LARGE((Daten!$A$2:$A$393='Material+Limits'!$P$18)*(ROW(Daten!$A$2:$A$393)-1),COUNTIF(Daten!$A$2:$A$393,'Material+Limits'!$P$18)+1-ROW(Daten!A9))),"")</f>
        <v/>
      </c>
      <c r="J114" t="str">
        <f t="array" aca="1" ref="J114" ca="1">IFERROR(INDEX(Daten!$Z$2:$Z$393,LARGE((Daten!$A$2:$A$393='Material+Limits'!$P$18)*(ROW(Daten!$A$2:$A$393)-1),COUNTIF(Daten!$A$2:$A$393,'Material+Limits'!$P$18)+1-ROW(Daten!A9))),"")</f>
        <v/>
      </c>
      <c r="K114" t="str">
        <f t="array" aca="1" ref="K114" ca="1">IFERROR(INDEX(Daten!$AA$2:$AA$393,LARGE((Daten!$A$2:$A$393='Material+Limits'!$P$18)*(ROW(Daten!$A$2:$A$393)-1),COUNTIF(Daten!$A$2:$A$393,'Material+Limits'!$P$18)+1-ROW(Daten!A9))),"")</f>
        <v/>
      </c>
      <c r="L114" s="2" t="str">
        <f t="array" aca="1" ref="L114" ca="1">IFERROR(INDEX(Daten!$AC$2:$AC$393,LARGE((Daten!$A$2:$A$393='Material+Limits'!$P$18)*(ROW(Daten!$A$2:$A$393)-1),COUNTIF(Daten!$A$2:$A$393,'Material+Limits'!$P$18)+1-ROW(Daten!A9))),"")</f>
        <v/>
      </c>
      <c r="M114" t="str">
        <f t="array" aca="1" ref="M114" ca="1">IFERROR(INDEX(Daten!$AD$2:$AD$393,LARGE((Daten!$A$2:$A$393='Material+Limits'!$P$18)*(ROW(Daten!$A$2:$A$393)-1),COUNTIF(Daten!$A$2:$A$393,'Material+Limits'!$P$18)+1-ROW(Daten!A9))),"")</f>
        <v/>
      </c>
      <c r="N114" s="2" t="str">
        <f t="array" aca="1" ref="N114" ca="1">IFERROR(INDEX(Daten!$AI$2:$AI$393,LARGE((Daten!$A$2:$A$393='Material+Limits'!$P$18)*(ROW(Daten!$A$2:$A$393)-1),COUNTIF(Daten!$A$2:$A$393,'Material+Limits'!$P$18)+1-ROW(Daten!A9))),"")</f>
        <v/>
      </c>
      <c r="O114" t="str">
        <f t="array" aca="1" ref="O114" ca="1">IFERROR(INDEX(Daten!$AJ$2:$AJ$393,LARGE((Daten!$A$2:$A$393='Material+Limits'!$P$18)*(ROW(Daten!$A$2:$A$393)-1),COUNTIF(Daten!$A$2:$A$393,'Material+Limits'!$P$18)+1-ROW(Daten!A9))),"")</f>
        <v/>
      </c>
      <c r="P114" t="str">
        <f t="array" aca="1" ref="P114" ca="1">IFERROR(INDEX(Daten!$AM$2:$AM$393,LARGE((Daten!$A$2:$A$393='Material+Limits'!$P$18)*(ROW(Daten!$A$2:$A$393)-1),COUNTIF(Daten!$A$2:$A$393,'Material+Limits'!$P$18)+1-ROW(Daten!A9))),"")</f>
        <v/>
      </c>
      <c r="Q114" t="str">
        <f t="array" aca="1" ref="Q114" ca="1">IFERROR(INDEX(Daten!$AN$2:$AN$393,LARGE((Daten!$A$2:$A$393='Material+Limits'!$P$18)*(ROW(Daten!$A$2:$A$393)-1),COUNTIF(Daten!$A$2:$A$393,'Material+Limits'!$P$18)+1-ROW(Daten!A9))),"")</f>
        <v/>
      </c>
      <c r="R114" s="186" t="str">
        <f t="shared" ca="1" si="1"/>
        <v/>
      </c>
      <c r="S114" s="186" t="str">
        <f t="shared" ca="1" si="2"/>
        <v/>
      </c>
    </row>
    <row r="115" spans="1:19" x14ac:dyDescent="0.25">
      <c r="A115" s="186" t="str">
        <f t="shared" ca="1" si="3"/>
        <v/>
      </c>
      <c r="B115" t="str">
        <f t="array" aca="1" ref="B115" ca="1">IFERROR(INDEX(Daten!$T$2:$T$393,LARGE((Daten!$A$2:$A$393='Material+Limits'!$P$18)*(ROW(Daten!$A$2:$A$393)-1),COUNTIF(Daten!$A$2:$A$393,'Material+Limits'!$P$18)+1-ROW(Daten!A10))),"")</f>
        <v/>
      </c>
      <c r="D115" t="str">
        <f t="array" aca="1" ref="D115" ca="1">IFERROR(INDEX(Daten!$AF$2:$AF$393,LARGE((Daten!$A$2:$A$393='Material+Limits'!$P$18)*(ROW(Daten!$A$2:$A$393)-1),COUNTIF(Daten!$A$2:$A$393,'Material+Limits'!$P$18)+1-ROW(Daten!A10))),"")</f>
        <v/>
      </c>
      <c r="E115" t="str">
        <f t="array" aca="1" ref="E115" ca="1">IFERROR(INDEX(Daten!$AE$2:$AE$393,LARGE((Daten!$A$2:$A$393='Material+Limits'!$P$18)*(ROW(Daten!$A$2:$A$393)-1),COUNTIF(Daten!$A$2:$A$393,'Material+Limits'!$P$18)+1-ROW(Daten!A10))),"")</f>
        <v/>
      </c>
      <c r="F115" t="str">
        <f t="array" aca="1" ref="F115" ca="1">IFERROR(INDEX(Daten!$AG$2:$AG$393,LARGE((Daten!$A$2:$A$393='Material+Limits'!$P$18)*(ROW(Daten!$A$2:$A$393)-1),COUNTIF(Daten!$A$2:$A$393,'Material+Limits'!$P$18)+1-ROW(Daten!A10))),"")</f>
        <v/>
      </c>
      <c r="H115" t="str">
        <f t="array" aca="1" ref="H115" ca="1">IFERROR(INDEX(Daten!$AH$2:$AH$393,LARGE((Daten!$A$2:$A$393='Material+Limits'!$P$18)*(ROW(Daten!$A$2:$A$393)-1),COUNTIF(Daten!$A$2:$A$393,'Material+Limits'!$P$18)+1-ROW(Daten!A10))),"")</f>
        <v/>
      </c>
      <c r="J115" t="str">
        <f t="array" aca="1" ref="J115" ca="1">IFERROR(INDEX(Daten!$Z$2:$Z$393,LARGE((Daten!$A$2:$A$393='Material+Limits'!$P$18)*(ROW(Daten!$A$2:$A$393)-1),COUNTIF(Daten!$A$2:$A$393,'Material+Limits'!$P$18)+1-ROW(Daten!A10))),"")</f>
        <v/>
      </c>
      <c r="K115" t="str">
        <f t="array" aca="1" ref="K115" ca="1">IFERROR(INDEX(Daten!$AA$2:$AA$393,LARGE((Daten!$A$2:$A$393='Material+Limits'!$P$18)*(ROW(Daten!$A$2:$A$393)-1),COUNTIF(Daten!$A$2:$A$393,'Material+Limits'!$P$18)+1-ROW(Daten!A10))),"")</f>
        <v/>
      </c>
      <c r="L115" s="2" t="str">
        <f t="array" aca="1" ref="L115" ca="1">IFERROR(INDEX(Daten!$AC$2:$AC$393,LARGE((Daten!$A$2:$A$393='Material+Limits'!$P$18)*(ROW(Daten!$A$2:$A$393)-1),COUNTIF(Daten!$A$2:$A$393,'Material+Limits'!$P$18)+1-ROW(Daten!A10))),"")</f>
        <v/>
      </c>
      <c r="M115" t="str">
        <f t="array" aca="1" ref="M115" ca="1">IFERROR(INDEX(Daten!$AD$2:$AD$393,LARGE((Daten!$A$2:$A$393='Material+Limits'!$P$18)*(ROW(Daten!$A$2:$A$393)-1),COUNTIF(Daten!$A$2:$A$393,'Material+Limits'!$P$18)+1-ROW(Daten!A10))),"")</f>
        <v/>
      </c>
      <c r="N115" s="2" t="str">
        <f t="array" aca="1" ref="N115" ca="1">IFERROR(INDEX(Daten!$AI$2:$AI$393,LARGE((Daten!$A$2:$A$393='Material+Limits'!$P$18)*(ROW(Daten!$A$2:$A$393)-1),COUNTIF(Daten!$A$2:$A$393,'Material+Limits'!$P$18)+1-ROW(Daten!A10))),"")</f>
        <v/>
      </c>
      <c r="O115" t="str">
        <f t="array" aca="1" ref="O115" ca="1">IFERROR(INDEX(Daten!$AJ$2:$AJ$393,LARGE((Daten!$A$2:$A$393='Material+Limits'!$P$18)*(ROW(Daten!$A$2:$A$393)-1),COUNTIF(Daten!$A$2:$A$393,'Material+Limits'!$P$18)+1-ROW(Daten!A10))),"")</f>
        <v/>
      </c>
      <c r="P115" t="str">
        <f t="array" aca="1" ref="P115" ca="1">IFERROR(INDEX(Daten!$AM$2:$AM$393,LARGE((Daten!$A$2:$A$393='Material+Limits'!$P$18)*(ROW(Daten!$A$2:$A$393)-1),COUNTIF(Daten!$A$2:$A$393,'Material+Limits'!$P$18)+1-ROW(Daten!A10))),"")</f>
        <v/>
      </c>
      <c r="Q115" t="str">
        <f t="array" aca="1" ref="Q115" ca="1">IFERROR(INDEX(Daten!$AN$2:$AN$393,LARGE((Daten!$A$2:$A$393='Material+Limits'!$P$18)*(ROW(Daten!$A$2:$A$393)-1),COUNTIF(Daten!$A$2:$A$393,'Material+Limits'!$P$18)+1-ROW(Daten!A10))),"")</f>
        <v/>
      </c>
      <c r="R115" s="186" t="str">
        <f t="shared" ca="1" si="1"/>
        <v/>
      </c>
      <c r="S115" s="186" t="str">
        <f t="shared" ca="1" si="2"/>
        <v/>
      </c>
    </row>
    <row r="116" spans="1:19" x14ac:dyDescent="0.25">
      <c r="A116" s="186" t="str">
        <f t="shared" ca="1" si="3"/>
        <v/>
      </c>
      <c r="B116" t="str">
        <f t="array" aca="1" ref="B116" ca="1">IFERROR(INDEX(Daten!$T$2:$T$393,LARGE((Daten!$A$2:$A$393='Material+Limits'!$P$18)*(ROW(Daten!$A$2:$A$393)-1),COUNTIF(Daten!$A$2:$A$393,'Material+Limits'!$P$18)+1-ROW(Daten!A11))),"")</f>
        <v/>
      </c>
      <c r="D116" t="str">
        <f t="array" aca="1" ref="D116" ca="1">IFERROR(INDEX(Daten!$AF$2:$AF$393,LARGE((Daten!$A$2:$A$393='Material+Limits'!$P$18)*(ROW(Daten!$A$2:$A$393)-1),COUNTIF(Daten!$A$2:$A$393,'Material+Limits'!$P$18)+1-ROW(Daten!A11))),"")</f>
        <v/>
      </c>
      <c r="E116" t="str">
        <f t="array" aca="1" ref="E116" ca="1">IFERROR(INDEX(Daten!$AE$2:$AE$393,LARGE((Daten!$A$2:$A$393='Material+Limits'!$P$18)*(ROW(Daten!$A$2:$A$393)-1),COUNTIF(Daten!$A$2:$A$393,'Material+Limits'!$P$18)+1-ROW(Daten!A11))),"")</f>
        <v/>
      </c>
      <c r="F116" t="str">
        <f t="array" aca="1" ref="F116" ca="1">IFERROR(INDEX(Daten!$AG$2:$AG$393,LARGE((Daten!$A$2:$A$393='Material+Limits'!$P$18)*(ROW(Daten!$A$2:$A$393)-1),COUNTIF(Daten!$A$2:$A$393,'Material+Limits'!$P$18)+1-ROW(Daten!A11))),"")</f>
        <v/>
      </c>
      <c r="H116" t="str">
        <f t="array" aca="1" ref="H116" ca="1">IFERROR(INDEX(Daten!$AH$2:$AH$393,LARGE((Daten!$A$2:$A$393='Material+Limits'!$P$18)*(ROW(Daten!$A$2:$A$393)-1),COUNTIF(Daten!$A$2:$A$393,'Material+Limits'!$P$18)+1-ROW(Daten!A11))),"")</f>
        <v/>
      </c>
      <c r="J116" t="str">
        <f t="array" aca="1" ref="J116" ca="1">IFERROR(INDEX(Daten!$Z$2:$Z$393,LARGE((Daten!$A$2:$A$393='Material+Limits'!$P$18)*(ROW(Daten!$A$2:$A$393)-1),COUNTIF(Daten!$A$2:$A$393,'Material+Limits'!$P$18)+1-ROW(Daten!A11))),"")</f>
        <v/>
      </c>
      <c r="K116" t="str">
        <f t="array" aca="1" ref="K116" ca="1">IFERROR(INDEX(Daten!$AA$2:$AA$393,LARGE((Daten!$A$2:$A$393='Material+Limits'!$P$18)*(ROW(Daten!$A$2:$A$393)-1),COUNTIF(Daten!$A$2:$A$393,'Material+Limits'!$P$18)+1-ROW(Daten!A11))),"")</f>
        <v/>
      </c>
      <c r="L116" s="2" t="str">
        <f t="array" aca="1" ref="L116" ca="1">IFERROR(INDEX(Daten!$AC$2:$AC$393,LARGE((Daten!$A$2:$A$393='Material+Limits'!$P$18)*(ROW(Daten!$A$2:$A$393)-1),COUNTIF(Daten!$A$2:$A$393,'Material+Limits'!$P$18)+1-ROW(Daten!A11))),"")</f>
        <v/>
      </c>
      <c r="M116" t="str">
        <f t="array" aca="1" ref="M116" ca="1">IFERROR(INDEX(Daten!$AD$2:$AD$393,LARGE((Daten!$A$2:$A$393='Material+Limits'!$P$18)*(ROW(Daten!$A$2:$A$393)-1),COUNTIF(Daten!$A$2:$A$393,'Material+Limits'!$P$18)+1-ROW(Daten!A11))),"")</f>
        <v/>
      </c>
      <c r="N116" s="2" t="str">
        <f t="array" aca="1" ref="N116" ca="1">IFERROR(INDEX(Daten!$AI$2:$AI$393,LARGE((Daten!$A$2:$A$393='Material+Limits'!$P$18)*(ROW(Daten!$A$2:$A$393)-1),COUNTIF(Daten!$A$2:$A$393,'Material+Limits'!$P$18)+1-ROW(Daten!A11))),"")</f>
        <v/>
      </c>
      <c r="O116" t="str">
        <f t="array" aca="1" ref="O116" ca="1">IFERROR(INDEX(Daten!$AJ$2:$AJ$393,LARGE((Daten!$A$2:$A$393='Material+Limits'!$P$18)*(ROW(Daten!$A$2:$A$393)-1),COUNTIF(Daten!$A$2:$A$393,'Material+Limits'!$P$18)+1-ROW(Daten!A11))),"")</f>
        <v/>
      </c>
      <c r="P116" t="str">
        <f t="array" aca="1" ref="P116" ca="1">IFERROR(INDEX(Daten!$AM$2:$AM$393,LARGE((Daten!$A$2:$A$393='Material+Limits'!$P$18)*(ROW(Daten!$A$2:$A$393)-1),COUNTIF(Daten!$A$2:$A$393,'Material+Limits'!$P$18)+1-ROW(Daten!A11))),"")</f>
        <v/>
      </c>
      <c r="Q116" t="str">
        <f t="array" aca="1" ref="Q116" ca="1">IFERROR(INDEX(Daten!$AN$2:$AN$393,LARGE((Daten!$A$2:$A$393='Material+Limits'!$P$18)*(ROW(Daten!$A$2:$A$393)-1),COUNTIF(Daten!$A$2:$A$393,'Material+Limits'!$P$18)+1-ROW(Daten!A11))),"")</f>
        <v/>
      </c>
      <c r="R116" s="186" t="str">
        <f t="shared" ca="1" si="1"/>
        <v/>
      </c>
      <c r="S116" s="186" t="str">
        <f t="shared" ca="1" si="2"/>
        <v/>
      </c>
    </row>
    <row r="117" spans="1:19" x14ac:dyDescent="0.25">
      <c r="A117" s="186" t="str">
        <f t="shared" ca="1" si="3"/>
        <v/>
      </c>
      <c r="B117" t="str">
        <f t="array" aca="1" ref="B117" ca="1">IFERROR(INDEX(Daten!$T$2:$T$393,LARGE((Daten!$A$2:$A$393='Material+Limits'!$P$18)*(ROW(Daten!$A$2:$A$393)-1),COUNTIF(Daten!$A$2:$A$393,'Material+Limits'!$P$18)+1-ROW(Daten!A12))),"")</f>
        <v/>
      </c>
      <c r="D117" t="str">
        <f t="array" aca="1" ref="D117" ca="1">IFERROR(INDEX(Daten!$AF$2:$AF$393,LARGE((Daten!$A$2:$A$393='Material+Limits'!$P$18)*(ROW(Daten!$A$2:$A$393)-1),COUNTIF(Daten!$A$2:$A$393,'Material+Limits'!$P$18)+1-ROW(Daten!A12))),"")</f>
        <v/>
      </c>
      <c r="E117" t="str">
        <f t="array" aca="1" ref="E117" ca="1">IFERROR(INDEX(Daten!$AE$2:$AE$393,LARGE((Daten!$A$2:$A$393='Material+Limits'!$P$18)*(ROW(Daten!$A$2:$A$393)-1),COUNTIF(Daten!$A$2:$A$393,'Material+Limits'!$P$18)+1-ROW(Daten!A12))),"")</f>
        <v/>
      </c>
      <c r="F117" t="str">
        <f t="array" aca="1" ref="F117" ca="1">IFERROR(INDEX(Daten!$AG$2:$AG$393,LARGE((Daten!$A$2:$A$393='Material+Limits'!$P$18)*(ROW(Daten!$A$2:$A$393)-1),COUNTIF(Daten!$A$2:$A$393,'Material+Limits'!$P$18)+1-ROW(Daten!A12))),"")</f>
        <v/>
      </c>
      <c r="H117" t="str">
        <f t="array" aca="1" ref="H117" ca="1">IFERROR(INDEX(Daten!$AH$2:$AH$393,LARGE((Daten!$A$2:$A$393='Material+Limits'!$P$18)*(ROW(Daten!$A$2:$A$393)-1),COUNTIF(Daten!$A$2:$A$393,'Material+Limits'!$P$18)+1-ROW(Daten!A12))),"")</f>
        <v/>
      </c>
      <c r="J117" t="str">
        <f t="array" aca="1" ref="J117" ca="1">IFERROR(INDEX(Daten!$Z$2:$Z$393,LARGE((Daten!$A$2:$A$393='Material+Limits'!$P$18)*(ROW(Daten!$A$2:$A$393)-1),COUNTIF(Daten!$A$2:$A$393,'Material+Limits'!$P$18)+1-ROW(Daten!A12))),"")</f>
        <v/>
      </c>
      <c r="K117" t="str">
        <f t="array" aca="1" ref="K117" ca="1">IFERROR(INDEX(Daten!$AA$2:$AA$393,LARGE((Daten!$A$2:$A$393='Material+Limits'!$P$18)*(ROW(Daten!$A$2:$A$393)-1),COUNTIF(Daten!$A$2:$A$393,'Material+Limits'!$P$18)+1-ROW(Daten!A12))),"")</f>
        <v/>
      </c>
      <c r="L117" s="2" t="str">
        <f t="array" aca="1" ref="L117" ca="1">IFERROR(INDEX(Daten!$AC$2:$AC$393,LARGE((Daten!$A$2:$A$393='Material+Limits'!$P$18)*(ROW(Daten!$A$2:$A$393)-1),COUNTIF(Daten!$A$2:$A$393,'Material+Limits'!$P$18)+1-ROW(Daten!A12))),"")</f>
        <v/>
      </c>
      <c r="M117" t="str">
        <f t="array" aca="1" ref="M117" ca="1">IFERROR(INDEX(Daten!$AD$2:$AD$393,LARGE((Daten!$A$2:$A$393='Material+Limits'!$P$18)*(ROW(Daten!$A$2:$A$393)-1),COUNTIF(Daten!$A$2:$A$393,'Material+Limits'!$P$18)+1-ROW(Daten!A12))),"")</f>
        <v/>
      </c>
      <c r="N117" s="2" t="str">
        <f t="array" aca="1" ref="N117" ca="1">IFERROR(INDEX(Daten!$AI$2:$AI$393,LARGE((Daten!$A$2:$A$393='Material+Limits'!$P$18)*(ROW(Daten!$A$2:$A$393)-1),COUNTIF(Daten!$A$2:$A$393,'Material+Limits'!$P$18)+1-ROW(Daten!A12))),"")</f>
        <v/>
      </c>
      <c r="O117" t="str">
        <f t="array" aca="1" ref="O117" ca="1">IFERROR(INDEX(Daten!$AJ$2:$AJ$393,LARGE((Daten!$A$2:$A$393='Material+Limits'!$P$18)*(ROW(Daten!$A$2:$A$393)-1),COUNTIF(Daten!$A$2:$A$393,'Material+Limits'!$P$18)+1-ROW(Daten!A12))),"")</f>
        <v/>
      </c>
      <c r="P117" t="str">
        <f t="array" aca="1" ref="P117" ca="1">IFERROR(INDEX(Daten!$AM$2:$AM$393,LARGE((Daten!$A$2:$A$393='Material+Limits'!$P$18)*(ROW(Daten!$A$2:$A$393)-1),COUNTIF(Daten!$A$2:$A$393,'Material+Limits'!$P$18)+1-ROW(Daten!A12))),"")</f>
        <v/>
      </c>
      <c r="Q117" t="str">
        <f t="array" aca="1" ref="Q117" ca="1">IFERROR(INDEX(Daten!$AN$2:$AN$393,LARGE((Daten!$A$2:$A$393='Material+Limits'!$P$18)*(ROW(Daten!$A$2:$A$393)-1),COUNTIF(Daten!$A$2:$A$393,'Material+Limits'!$P$18)+1-ROW(Daten!A12))),"")</f>
        <v/>
      </c>
      <c r="R117" s="186" t="str">
        <f t="shared" ca="1" si="1"/>
        <v/>
      </c>
      <c r="S117" s="186" t="str">
        <f t="shared" ca="1" si="2"/>
        <v/>
      </c>
    </row>
    <row r="118" spans="1:19" x14ac:dyDescent="0.25">
      <c r="A118" s="186" t="str">
        <f t="shared" ca="1" si="3"/>
        <v/>
      </c>
      <c r="B118" t="str">
        <f t="array" aca="1" ref="B118" ca="1">IFERROR(INDEX(Daten!$T$2:$T$393,LARGE((Daten!$A$2:$A$393='Material+Limits'!$P$18)*(ROW(Daten!$A$2:$A$393)-1),COUNTIF(Daten!$A$2:$A$393,'Material+Limits'!$P$18)+1-ROW(Daten!A13))),"")</f>
        <v/>
      </c>
      <c r="D118" t="str">
        <f t="array" aca="1" ref="D118" ca="1">IFERROR(INDEX(Daten!$AF$2:$AF$393,LARGE((Daten!$A$2:$A$393='Material+Limits'!$P$18)*(ROW(Daten!$A$2:$A$393)-1),COUNTIF(Daten!$A$2:$A$393,'Material+Limits'!$P$18)+1-ROW(Daten!A13))),"")</f>
        <v/>
      </c>
      <c r="E118" t="str">
        <f t="array" aca="1" ref="E118" ca="1">IFERROR(INDEX(Daten!$AE$2:$AE$393,LARGE((Daten!$A$2:$A$393='Material+Limits'!$P$18)*(ROW(Daten!$A$2:$A$393)-1),COUNTIF(Daten!$A$2:$A$393,'Material+Limits'!$P$18)+1-ROW(Daten!A13))),"")</f>
        <v/>
      </c>
      <c r="F118" t="str">
        <f t="array" aca="1" ref="F118" ca="1">IFERROR(INDEX(Daten!$AG$2:$AG$393,LARGE((Daten!$A$2:$A$393='Material+Limits'!$P$18)*(ROW(Daten!$A$2:$A$393)-1),COUNTIF(Daten!$A$2:$A$393,'Material+Limits'!$P$18)+1-ROW(Daten!A13))),"")</f>
        <v/>
      </c>
      <c r="H118" t="str">
        <f t="array" aca="1" ref="H118" ca="1">IFERROR(INDEX(Daten!$AH$2:$AH$393,LARGE((Daten!$A$2:$A$393='Material+Limits'!$P$18)*(ROW(Daten!$A$2:$A$393)-1),COUNTIF(Daten!$A$2:$A$393,'Material+Limits'!$P$18)+1-ROW(Daten!A13))),"")</f>
        <v/>
      </c>
      <c r="J118" t="str">
        <f t="array" aca="1" ref="J118" ca="1">IFERROR(INDEX(Daten!$Z$2:$Z$393,LARGE((Daten!$A$2:$A$393='Material+Limits'!$P$18)*(ROW(Daten!$A$2:$A$393)-1),COUNTIF(Daten!$A$2:$A$393,'Material+Limits'!$P$18)+1-ROW(Daten!A13))),"")</f>
        <v/>
      </c>
      <c r="K118" t="str">
        <f t="array" aca="1" ref="K118" ca="1">IFERROR(INDEX(Daten!$AA$2:$AA$393,LARGE((Daten!$A$2:$A$393='Material+Limits'!$P$18)*(ROW(Daten!$A$2:$A$393)-1),COUNTIF(Daten!$A$2:$A$393,'Material+Limits'!$P$18)+1-ROW(Daten!A13))),"")</f>
        <v/>
      </c>
      <c r="L118" s="2" t="str">
        <f t="array" aca="1" ref="L118" ca="1">IFERROR(INDEX(Daten!$AC$2:$AC$393,LARGE((Daten!$A$2:$A$393='Material+Limits'!$P$18)*(ROW(Daten!$A$2:$A$393)-1),COUNTIF(Daten!$A$2:$A$393,'Material+Limits'!$P$18)+1-ROW(Daten!A13))),"")</f>
        <v/>
      </c>
      <c r="M118" t="str">
        <f t="array" aca="1" ref="M118" ca="1">IFERROR(INDEX(Daten!$AD$2:$AD$393,LARGE((Daten!$A$2:$A$393='Material+Limits'!$P$18)*(ROW(Daten!$A$2:$A$393)-1),COUNTIF(Daten!$A$2:$A$393,'Material+Limits'!$P$18)+1-ROW(Daten!A13))),"")</f>
        <v/>
      </c>
      <c r="N118" s="2" t="str">
        <f t="array" aca="1" ref="N118" ca="1">IFERROR(INDEX(Daten!$AI$2:$AI$393,LARGE((Daten!$A$2:$A$393='Material+Limits'!$P$18)*(ROW(Daten!$A$2:$A$393)-1),COUNTIF(Daten!$A$2:$A$393,'Material+Limits'!$P$18)+1-ROW(Daten!A13))),"")</f>
        <v/>
      </c>
      <c r="O118" t="str">
        <f t="array" aca="1" ref="O118" ca="1">IFERROR(INDEX(Daten!$AJ$2:$AJ$393,LARGE((Daten!$A$2:$A$393='Material+Limits'!$P$18)*(ROW(Daten!$A$2:$A$393)-1),COUNTIF(Daten!$A$2:$A$393,'Material+Limits'!$P$18)+1-ROW(Daten!A13))),"")</f>
        <v/>
      </c>
      <c r="P118" t="str">
        <f t="array" aca="1" ref="P118" ca="1">IFERROR(INDEX(Daten!$AM$2:$AM$393,LARGE((Daten!$A$2:$A$393='Material+Limits'!$P$18)*(ROW(Daten!$A$2:$A$393)-1),COUNTIF(Daten!$A$2:$A$393,'Material+Limits'!$P$18)+1-ROW(Daten!A13))),"")</f>
        <v/>
      </c>
      <c r="Q118" t="str">
        <f t="array" aca="1" ref="Q118" ca="1">IFERROR(INDEX(Daten!$AN$2:$AN$393,LARGE((Daten!$A$2:$A$393='Material+Limits'!$P$18)*(ROW(Daten!$A$2:$A$393)-1),COUNTIF(Daten!$A$2:$A$393,'Material+Limits'!$P$18)+1-ROW(Daten!A13))),"")</f>
        <v/>
      </c>
      <c r="R118" s="186" t="str">
        <f t="shared" ca="1" si="1"/>
        <v/>
      </c>
      <c r="S118" s="186" t="str">
        <f t="shared" ca="1" si="2"/>
        <v/>
      </c>
    </row>
    <row r="119" spans="1:19" x14ac:dyDescent="0.25">
      <c r="A119" s="186" t="str">
        <f t="shared" ca="1" si="3"/>
        <v/>
      </c>
      <c r="B119" t="str">
        <f t="array" aca="1" ref="B119" ca="1">IFERROR(INDEX(Daten!$T$2:$T$393,LARGE((Daten!$A$2:$A$393='Material+Limits'!$P$18)*(ROW(Daten!$A$2:$A$393)-1),COUNTIF(Daten!$A$2:$A$393,'Material+Limits'!$P$18)+1-ROW(Daten!A14))),"")</f>
        <v/>
      </c>
      <c r="D119" t="str">
        <f t="array" aca="1" ref="D119" ca="1">IFERROR(INDEX(Daten!$AF$2:$AF$393,LARGE((Daten!$A$2:$A$393='Material+Limits'!$P$18)*(ROW(Daten!$A$2:$A$393)-1),COUNTIF(Daten!$A$2:$A$393,'Material+Limits'!$P$18)+1-ROW(Daten!A14))),"")</f>
        <v/>
      </c>
      <c r="E119" t="str">
        <f t="array" aca="1" ref="E119" ca="1">IFERROR(INDEX(Daten!$AE$2:$AE$393,LARGE((Daten!$A$2:$A$393='Material+Limits'!$P$18)*(ROW(Daten!$A$2:$A$393)-1),COUNTIF(Daten!$A$2:$A$393,'Material+Limits'!$P$18)+1-ROW(Daten!A14))),"")</f>
        <v/>
      </c>
      <c r="F119" t="str">
        <f t="array" aca="1" ref="F119" ca="1">IFERROR(INDEX(Daten!$AG$2:$AG$393,LARGE((Daten!$A$2:$A$393='Material+Limits'!$P$18)*(ROW(Daten!$A$2:$A$393)-1),COUNTIF(Daten!$A$2:$A$393,'Material+Limits'!$P$18)+1-ROW(Daten!A14))),"")</f>
        <v/>
      </c>
      <c r="H119" t="str">
        <f t="array" aca="1" ref="H119" ca="1">IFERROR(INDEX(Daten!$AH$2:$AH$393,LARGE((Daten!$A$2:$A$393='Material+Limits'!$P$18)*(ROW(Daten!$A$2:$A$393)-1),COUNTIF(Daten!$A$2:$A$393,'Material+Limits'!$P$18)+1-ROW(Daten!A14))),"")</f>
        <v/>
      </c>
      <c r="J119" t="str">
        <f t="array" aca="1" ref="J119" ca="1">IFERROR(INDEX(Daten!$Z$2:$Z$393,LARGE((Daten!$A$2:$A$393='Material+Limits'!$P$18)*(ROW(Daten!$A$2:$A$393)-1),COUNTIF(Daten!$A$2:$A$393,'Material+Limits'!$P$18)+1-ROW(Daten!A14))),"")</f>
        <v/>
      </c>
      <c r="K119" t="str">
        <f t="array" aca="1" ref="K119" ca="1">IFERROR(INDEX(Daten!$AA$2:$AA$393,LARGE((Daten!$A$2:$A$393='Material+Limits'!$P$18)*(ROW(Daten!$A$2:$A$393)-1),COUNTIF(Daten!$A$2:$A$393,'Material+Limits'!$P$18)+1-ROW(Daten!A14))),"")</f>
        <v/>
      </c>
      <c r="L119" s="2" t="str">
        <f t="array" aca="1" ref="L119" ca="1">IFERROR(INDEX(Daten!$AC$2:$AC$393,LARGE((Daten!$A$2:$A$393='Material+Limits'!$P$18)*(ROW(Daten!$A$2:$A$393)-1),COUNTIF(Daten!$A$2:$A$393,'Material+Limits'!$P$18)+1-ROW(Daten!A14))),"")</f>
        <v/>
      </c>
      <c r="M119" t="str">
        <f t="array" aca="1" ref="M119" ca="1">IFERROR(INDEX(Daten!$AD$2:$AD$393,LARGE((Daten!$A$2:$A$393='Material+Limits'!$P$18)*(ROW(Daten!$A$2:$A$393)-1),COUNTIF(Daten!$A$2:$A$393,'Material+Limits'!$P$18)+1-ROW(Daten!A14))),"")</f>
        <v/>
      </c>
      <c r="N119" s="2" t="str">
        <f t="array" aca="1" ref="N119" ca="1">IFERROR(INDEX(Daten!$AI$2:$AI$393,LARGE((Daten!$A$2:$A$393='Material+Limits'!$P$18)*(ROW(Daten!$A$2:$A$393)-1),COUNTIF(Daten!$A$2:$A$393,'Material+Limits'!$P$18)+1-ROW(Daten!A14))),"")</f>
        <v/>
      </c>
      <c r="O119" t="str">
        <f t="array" aca="1" ref="O119" ca="1">IFERROR(INDEX(Daten!$AJ$2:$AJ$393,LARGE((Daten!$A$2:$A$393='Material+Limits'!$P$18)*(ROW(Daten!$A$2:$A$393)-1),COUNTIF(Daten!$A$2:$A$393,'Material+Limits'!$P$18)+1-ROW(Daten!A14))),"")</f>
        <v/>
      </c>
      <c r="P119" t="str">
        <f t="array" aca="1" ref="P119" ca="1">IFERROR(INDEX(Daten!$AM$2:$AM$393,LARGE((Daten!$A$2:$A$393='Material+Limits'!$P$18)*(ROW(Daten!$A$2:$A$393)-1),COUNTIF(Daten!$A$2:$A$393,'Material+Limits'!$P$18)+1-ROW(Daten!A14))),"")</f>
        <v/>
      </c>
      <c r="Q119" t="str">
        <f t="array" aca="1" ref="Q119" ca="1">IFERROR(INDEX(Daten!$AN$2:$AN$393,LARGE((Daten!$A$2:$A$393='Material+Limits'!$P$18)*(ROW(Daten!$A$2:$A$393)-1),COUNTIF(Daten!$A$2:$A$393,'Material+Limits'!$P$18)+1-ROW(Daten!A14))),"")</f>
        <v/>
      </c>
      <c r="R119" s="186" t="str">
        <f t="shared" ca="1" si="1"/>
        <v/>
      </c>
      <c r="S119" s="186" t="str">
        <f t="shared" ca="1" si="2"/>
        <v/>
      </c>
    </row>
    <row r="120" spans="1:19" x14ac:dyDescent="0.25">
      <c r="A120" s="186" t="str">
        <f t="shared" ca="1" si="3"/>
        <v/>
      </c>
      <c r="B120" t="str">
        <f t="array" aca="1" ref="B120" ca="1">IFERROR(INDEX(Daten!$T$2:$T$393,LARGE((Daten!$A$2:$A$393='Material+Limits'!$P$18)*(ROW(Daten!$A$2:$A$393)-1),COUNTIF(Daten!$A$2:$A$393,'Material+Limits'!$P$18)+1-ROW(Daten!A15))),"")</f>
        <v/>
      </c>
      <c r="D120" t="str">
        <f t="array" aca="1" ref="D120" ca="1">IFERROR(INDEX(Daten!$AF$2:$AF$393,LARGE((Daten!$A$2:$A$393='Material+Limits'!$P$18)*(ROW(Daten!$A$2:$A$393)-1),COUNTIF(Daten!$A$2:$A$393,'Material+Limits'!$P$18)+1-ROW(Daten!A15))),"")</f>
        <v/>
      </c>
      <c r="E120" t="str">
        <f t="array" aca="1" ref="E120" ca="1">IFERROR(INDEX(Daten!$AE$2:$AE$393,LARGE((Daten!$A$2:$A$393='Material+Limits'!$P$18)*(ROW(Daten!$A$2:$A$393)-1),COUNTIF(Daten!$A$2:$A$393,'Material+Limits'!$P$18)+1-ROW(Daten!A15))),"")</f>
        <v/>
      </c>
      <c r="F120" t="str">
        <f t="array" aca="1" ref="F120" ca="1">IFERROR(INDEX(Daten!$AG$2:$AG$393,LARGE((Daten!$A$2:$A$393='Material+Limits'!$P$18)*(ROW(Daten!$A$2:$A$393)-1),COUNTIF(Daten!$A$2:$A$393,'Material+Limits'!$P$18)+1-ROW(Daten!A15))),"")</f>
        <v/>
      </c>
      <c r="H120" t="str">
        <f t="array" aca="1" ref="H120" ca="1">IFERROR(INDEX(Daten!$AH$2:$AH$393,LARGE((Daten!$A$2:$A$393='Material+Limits'!$P$18)*(ROW(Daten!$A$2:$A$393)-1),COUNTIF(Daten!$A$2:$A$393,'Material+Limits'!$P$18)+1-ROW(Daten!A15))),"")</f>
        <v/>
      </c>
      <c r="J120" t="str">
        <f t="array" aca="1" ref="J120" ca="1">IFERROR(INDEX(Daten!$Z$2:$Z$393,LARGE((Daten!$A$2:$A$393='Material+Limits'!$P$18)*(ROW(Daten!$A$2:$A$393)-1),COUNTIF(Daten!$A$2:$A$393,'Material+Limits'!$P$18)+1-ROW(Daten!A15))),"")</f>
        <v/>
      </c>
      <c r="K120" t="str">
        <f t="array" aca="1" ref="K120" ca="1">IFERROR(INDEX(Daten!$AA$2:$AA$393,LARGE((Daten!$A$2:$A$393='Material+Limits'!$P$18)*(ROW(Daten!$A$2:$A$393)-1),COUNTIF(Daten!$A$2:$A$393,'Material+Limits'!$P$18)+1-ROW(Daten!A15))),"")</f>
        <v/>
      </c>
      <c r="L120" s="2" t="str">
        <f t="array" aca="1" ref="L120" ca="1">IFERROR(INDEX(Daten!$AC$2:$AC$393,LARGE((Daten!$A$2:$A$393='Material+Limits'!$P$18)*(ROW(Daten!$A$2:$A$393)-1),COUNTIF(Daten!$A$2:$A$393,'Material+Limits'!$P$18)+1-ROW(Daten!A15))),"")</f>
        <v/>
      </c>
      <c r="M120" t="str">
        <f t="array" aca="1" ref="M120" ca="1">IFERROR(INDEX(Daten!$AD$2:$AD$393,LARGE((Daten!$A$2:$A$393='Material+Limits'!$P$18)*(ROW(Daten!$A$2:$A$393)-1),COUNTIF(Daten!$A$2:$A$393,'Material+Limits'!$P$18)+1-ROW(Daten!A15))),"")</f>
        <v/>
      </c>
      <c r="N120" s="2" t="str">
        <f t="array" aca="1" ref="N120" ca="1">IFERROR(INDEX(Daten!$AI$2:$AI$393,LARGE((Daten!$A$2:$A$393='Material+Limits'!$P$18)*(ROW(Daten!$A$2:$A$393)-1),COUNTIF(Daten!$A$2:$A$393,'Material+Limits'!$P$18)+1-ROW(Daten!A15))),"")</f>
        <v/>
      </c>
      <c r="O120" t="str">
        <f t="array" aca="1" ref="O120" ca="1">IFERROR(INDEX(Daten!$AJ$2:$AJ$393,LARGE((Daten!$A$2:$A$393='Material+Limits'!$P$18)*(ROW(Daten!$A$2:$A$393)-1),COUNTIF(Daten!$A$2:$A$393,'Material+Limits'!$P$18)+1-ROW(Daten!A15))),"")</f>
        <v/>
      </c>
      <c r="P120" t="str">
        <f t="array" aca="1" ref="P120" ca="1">IFERROR(INDEX(Daten!$AM$2:$AM$393,LARGE((Daten!$A$2:$A$393='Material+Limits'!$P$18)*(ROW(Daten!$A$2:$A$393)-1),COUNTIF(Daten!$A$2:$A$393,'Material+Limits'!$P$18)+1-ROW(Daten!A15))),"")</f>
        <v/>
      </c>
      <c r="Q120" t="str">
        <f t="array" aca="1" ref="Q120" ca="1">IFERROR(INDEX(Daten!$AN$2:$AN$393,LARGE((Daten!$A$2:$A$393='Material+Limits'!$P$18)*(ROW(Daten!$A$2:$A$393)-1),COUNTIF(Daten!$A$2:$A$393,'Material+Limits'!$P$18)+1-ROW(Daten!A15))),"")</f>
        <v/>
      </c>
      <c r="R120" s="186" t="str">
        <f t="shared" ca="1" si="1"/>
        <v/>
      </c>
      <c r="S120" s="186" t="str">
        <f t="shared" ca="1" si="2"/>
        <v/>
      </c>
    </row>
    <row r="121" spans="1:19" x14ac:dyDescent="0.25">
      <c r="A121" s="186" t="str">
        <f t="shared" ca="1" si="3"/>
        <v/>
      </c>
      <c r="B121" t="str">
        <f t="array" aca="1" ref="B121" ca="1">IFERROR(INDEX(Daten!$T$2:$T$393,LARGE((Daten!$A$2:$A$393='Material+Limits'!$P$18)*(ROW(Daten!$A$2:$A$393)-1),COUNTIF(Daten!$A$2:$A$393,'Material+Limits'!$P$18)+1-ROW(Daten!A16))),"")</f>
        <v/>
      </c>
      <c r="D121" t="str">
        <f t="array" aca="1" ref="D121" ca="1">IFERROR(INDEX(Daten!$AF$2:$AF$393,LARGE((Daten!$A$2:$A$393='Material+Limits'!$P$18)*(ROW(Daten!$A$2:$A$393)-1),COUNTIF(Daten!$A$2:$A$393,'Material+Limits'!$P$18)+1-ROW(Daten!A16))),"")</f>
        <v/>
      </c>
      <c r="E121" t="str">
        <f t="array" aca="1" ref="E121" ca="1">IFERROR(INDEX(Daten!$AE$2:$AE$393,LARGE((Daten!$A$2:$A$393='Material+Limits'!$P$18)*(ROW(Daten!$A$2:$A$393)-1),COUNTIF(Daten!$A$2:$A$393,'Material+Limits'!$P$18)+1-ROW(Daten!A16))),"")</f>
        <v/>
      </c>
      <c r="F121" t="str">
        <f t="array" aca="1" ref="F121" ca="1">IFERROR(INDEX(Daten!$AG$2:$AG$393,LARGE((Daten!$A$2:$A$393='Material+Limits'!$P$18)*(ROW(Daten!$A$2:$A$393)-1),COUNTIF(Daten!$A$2:$A$393,'Material+Limits'!$P$18)+1-ROW(Daten!A16))),"")</f>
        <v/>
      </c>
      <c r="H121" t="str">
        <f t="array" aca="1" ref="H121" ca="1">IFERROR(INDEX(Daten!$AH$2:$AH$393,LARGE((Daten!$A$2:$A$393='Material+Limits'!$P$18)*(ROW(Daten!$A$2:$A$393)-1),COUNTIF(Daten!$A$2:$A$393,'Material+Limits'!$P$18)+1-ROW(Daten!A16))),"")</f>
        <v/>
      </c>
      <c r="J121" t="str">
        <f t="array" aca="1" ref="J121" ca="1">IFERROR(INDEX(Daten!$Z$2:$Z$393,LARGE((Daten!$A$2:$A$393='Material+Limits'!$P$18)*(ROW(Daten!$A$2:$A$393)-1),COUNTIF(Daten!$A$2:$A$393,'Material+Limits'!$P$18)+1-ROW(Daten!A16))),"")</f>
        <v/>
      </c>
      <c r="K121" t="str">
        <f t="array" aca="1" ref="K121" ca="1">IFERROR(INDEX(Daten!$AA$2:$AA$393,LARGE((Daten!$A$2:$A$393='Material+Limits'!$P$18)*(ROW(Daten!$A$2:$A$393)-1),COUNTIF(Daten!$A$2:$A$393,'Material+Limits'!$P$18)+1-ROW(Daten!A16))),"")</f>
        <v/>
      </c>
      <c r="L121" s="2" t="str">
        <f t="array" aca="1" ref="L121" ca="1">IFERROR(INDEX(Daten!$AC$2:$AC$393,LARGE((Daten!$A$2:$A$393='Material+Limits'!$P$18)*(ROW(Daten!$A$2:$A$393)-1),COUNTIF(Daten!$A$2:$A$393,'Material+Limits'!$P$18)+1-ROW(Daten!A16))),"")</f>
        <v/>
      </c>
      <c r="M121" t="str">
        <f t="array" aca="1" ref="M121" ca="1">IFERROR(INDEX(Daten!$AD$2:$AD$393,LARGE((Daten!$A$2:$A$393='Material+Limits'!$P$18)*(ROW(Daten!$A$2:$A$393)-1),COUNTIF(Daten!$A$2:$A$393,'Material+Limits'!$P$18)+1-ROW(Daten!A16))),"")</f>
        <v/>
      </c>
      <c r="N121" s="2" t="str">
        <f t="array" aca="1" ref="N121" ca="1">IFERROR(INDEX(Daten!$AI$2:$AI$393,LARGE((Daten!$A$2:$A$393='Material+Limits'!$P$18)*(ROW(Daten!$A$2:$A$393)-1),COUNTIF(Daten!$A$2:$A$393,'Material+Limits'!$P$18)+1-ROW(Daten!A16))),"")</f>
        <v/>
      </c>
      <c r="O121" t="str">
        <f t="array" aca="1" ref="O121" ca="1">IFERROR(INDEX(Daten!$AJ$2:$AJ$393,LARGE((Daten!$A$2:$A$393='Material+Limits'!$P$18)*(ROW(Daten!$A$2:$A$393)-1),COUNTIF(Daten!$A$2:$A$393,'Material+Limits'!$P$18)+1-ROW(Daten!A16))),"")</f>
        <v/>
      </c>
      <c r="P121" t="str">
        <f t="array" aca="1" ref="P121" ca="1">IFERROR(INDEX(Daten!$AM$2:$AM$393,LARGE((Daten!$A$2:$A$393='Material+Limits'!$P$18)*(ROW(Daten!$A$2:$A$393)-1),COUNTIF(Daten!$A$2:$A$393,'Material+Limits'!$P$18)+1-ROW(Daten!A16))),"")</f>
        <v/>
      </c>
      <c r="Q121" t="str">
        <f t="array" aca="1" ref="Q121" ca="1">IFERROR(INDEX(Daten!$AN$2:$AN$393,LARGE((Daten!$A$2:$A$393='Material+Limits'!$P$18)*(ROW(Daten!$A$2:$A$393)-1),COUNTIF(Daten!$A$2:$A$393,'Material+Limits'!$P$18)+1-ROW(Daten!A16))),"")</f>
        <v/>
      </c>
      <c r="R121" s="186" t="str">
        <f t="shared" ca="1" si="1"/>
        <v/>
      </c>
      <c r="S121" s="186" t="str">
        <f t="shared" ca="1" si="2"/>
        <v/>
      </c>
    </row>
    <row r="122" spans="1:19" x14ac:dyDescent="0.25">
      <c r="A122" s="186" t="str">
        <f t="shared" ca="1" si="3"/>
        <v/>
      </c>
      <c r="B122" t="str">
        <f t="array" aca="1" ref="B122" ca="1">IFERROR(INDEX(Daten!$T$2:$T$393,LARGE((Daten!$A$2:$A$393='Material+Limits'!$P$18)*(ROW(Daten!$A$2:$A$393)-1),COUNTIF(Daten!$A$2:$A$393,'Material+Limits'!$P$18)+1-ROW(Daten!A17))),"")</f>
        <v/>
      </c>
      <c r="D122" t="str">
        <f t="array" aca="1" ref="D122" ca="1">IFERROR(INDEX(Daten!$AF$2:$AF$393,LARGE((Daten!$A$2:$A$393='Material+Limits'!$P$18)*(ROW(Daten!$A$2:$A$393)-1),COUNTIF(Daten!$A$2:$A$393,'Material+Limits'!$P$18)+1-ROW(Daten!A17))),"")</f>
        <v/>
      </c>
      <c r="E122" t="str">
        <f t="array" aca="1" ref="E122" ca="1">IFERROR(INDEX(Daten!$AE$2:$AE$393,LARGE((Daten!$A$2:$A$393='Material+Limits'!$P$18)*(ROW(Daten!$A$2:$A$393)-1),COUNTIF(Daten!$A$2:$A$393,'Material+Limits'!$P$18)+1-ROW(Daten!A17))),"")</f>
        <v/>
      </c>
      <c r="F122" t="str">
        <f t="array" aca="1" ref="F122" ca="1">IFERROR(INDEX(Daten!$AG$2:$AG$393,LARGE((Daten!$A$2:$A$393='Material+Limits'!$P$18)*(ROW(Daten!$A$2:$A$393)-1),COUNTIF(Daten!$A$2:$A$393,'Material+Limits'!$P$18)+1-ROW(Daten!A17))),"")</f>
        <v/>
      </c>
      <c r="H122" t="str">
        <f t="array" aca="1" ref="H122" ca="1">IFERROR(INDEX(Daten!$AH$2:$AH$393,LARGE((Daten!$A$2:$A$393='Material+Limits'!$P$18)*(ROW(Daten!$A$2:$A$393)-1),COUNTIF(Daten!$A$2:$A$393,'Material+Limits'!$P$18)+1-ROW(Daten!A17))),"")</f>
        <v/>
      </c>
      <c r="J122" t="str">
        <f t="array" aca="1" ref="J122" ca="1">IFERROR(INDEX(Daten!$Z$2:$Z$393,LARGE((Daten!$A$2:$A$393='Material+Limits'!$P$18)*(ROW(Daten!$A$2:$A$393)-1),COUNTIF(Daten!$A$2:$A$393,'Material+Limits'!$P$18)+1-ROW(Daten!A17))),"")</f>
        <v/>
      </c>
      <c r="K122" t="str">
        <f t="array" aca="1" ref="K122" ca="1">IFERROR(INDEX(Daten!$AA$2:$AA$393,LARGE((Daten!$A$2:$A$393='Material+Limits'!$P$18)*(ROW(Daten!$A$2:$A$393)-1),COUNTIF(Daten!$A$2:$A$393,'Material+Limits'!$P$18)+1-ROW(Daten!A17))),"")</f>
        <v/>
      </c>
      <c r="L122" s="2" t="str">
        <f t="array" aca="1" ref="L122" ca="1">IFERROR(INDEX(Daten!$AC$2:$AC$393,LARGE((Daten!$A$2:$A$393='Material+Limits'!$P$18)*(ROW(Daten!$A$2:$A$393)-1),COUNTIF(Daten!$A$2:$A$393,'Material+Limits'!$P$18)+1-ROW(Daten!A17))),"")</f>
        <v/>
      </c>
      <c r="M122" t="str">
        <f t="array" aca="1" ref="M122" ca="1">IFERROR(INDEX(Daten!$AD$2:$AD$393,LARGE((Daten!$A$2:$A$393='Material+Limits'!$P$18)*(ROW(Daten!$A$2:$A$393)-1),COUNTIF(Daten!$A$2:$A$393,'Material+Limits'!$P$18)+1-ROW(Daten!A17))),"")</f>
        <v/>
      </c>
      <c r="N122" s="2" t="str">
        <f t="array" aca="1" ref="N122" ca="1">IFERROR(INDEX(Daten!$AI$2:$AI$393,LARGE((Daten!$A$2:$A$393='Material+Limits'!$P$18)*(ROW(Daten!$A$2:$A$393)-1),COUNTIF(Daten!$A$2:$A$393,'Material+Limits'!$P$18)+1-ROW(Daten!A17))),"")</f>
        <v/>
      </c>
      <c r="O122" t="str">
        <f t="array" aca="1" ref="O122" ca="1">IFERROR(INDEX(Daten!$AJ$2:$AJ$393,LARGE((Daten!$A$2:$A$393='Material+Limits'!$P$18)*(ROW(Daten!$A$2:$A$393)-1),COUNTIF(Daten!$A$2:$A$393,'Material+Limits'!$P$18)+1-ROW(Daten!A17))),"")</f>
        <v/>
      </c>
      <c r="P122" t="str">
        <f t="array" aca="1" ref="P122" ca="1">IFERROR(INDEX(Daten!$AM$2:$AM$393,LARGE((Daten!$A$2:$A$393='Material+Limits'!$P$18)*(ROW(Daten!$A$2:$A$393)-1),COUNTIF(Daten!$A$2:$A$393,'Material+Limits'!$P$18)+1-ROW(Daten!A17))),"")</f>
        <v/>
      </c>
      <c r="Q122" t="str">
        <f t="array" aca="1" ref="Q122" ca="1">IFERROR(INDEX(Daten!$AN$2:$AN$393,LARGE((Daten!$A$2:$A$393='Material+Limits'!$P$18)*(ROW(Daten!$A$2:$A$393)-1),COUNTIF(Daten!$A$2:$A$393,'Material+Limits'!$P$18)+1-ROW(Daten!A17))),"")</f>
        <v/>
      </c>
      <c r="R122" s="186" t="str">
        <f t="shared" ca="1" si="1"/>
        <v/>
      </c>
      <c r="S122" s="186" t="str">
        <f t="shared" ca="1" si="2"/>
        <v/>
      </c>
    </row>
    <row r="123" spans="1:19" x14ac:dyDescent="0.25">
      <c r="A123" s="186" t="str">
        <f t="shared" ca="1" si="3"/>
        <v/>
      </c>
      <c r="B123" t="str">
        <f t="array" aca="1" ref="B123" ca="1">IFERROR(INDEX(Daten!$T$2:$T$393,LARGE((Daten!$A$2:$A$393='Material+Limits'!$P$18)*(ROW(Daten!$A$2:$A$393)-1),COUNTIF(Daten!$A$2:$A$393,'Material+Limits'!$P$18)+1-ROW(Daten!A18))),"")</f>
        <v/>
      </c>
      <c r="D123" t="str">
        <f t="array" aca="1" ref="D123" ca="1">IFERROR(INDEX(Daten!$AF$2:$AF$393,LARGE((Daten!$A$2:$A$393='Material+Limits'!$P$18)*(ROW(Daten!$A$2:$A$393)-1),COUNTIF(Daten!$A$2:$A$393,'Material+Limits'!$P$18)+1-ROW(Daten!A18))),"")</f>
        <v/>
      </c>
      <c r="E123" t="str">
        <f t="array" aca="1" ref="E123" ca="1">IFERROR(INDEX(Daten!$AE$2:$AE$393,LARGE((Daten!$A$2:$A$393='Material+Limits'!$P$18)*(ROW(Daten!$A$2:$A$393)-1),COUNTIF(Daten!$A$2:$A$393,'Material+Limits'!$P$18)+1-ROW(Daten!A18))),"")</f>
        <v/>
      </c>
      <c r="F123" t="str">
        <f t="array" aca="1" ref="F123" ca="1">IFERROR(INDEX(Daten!$AG$2:$AG$393,LARGE((Daten!$A$2:$A$393='Material+Limits'!$P$18)*(ROW(Daten!$A$2:$A$393)-1),COUNTIF(Daten!$A$2:$A$393,'Material+Limits'!$P$18)+1-ROW(Daten!A18))),"")</f>
        <v/>
      </c>
      <c r="H123" t="str">
        <f t="array" aca="1" ref="H123" ca="1">IFERROR(INDEX(Daten!$AH$2:$AH$393,LARGE((Daten!$A$2:$A$393='Material+Limits'!$P$18)*(ROW(Daten!$A$2:$A$393)-1),COUNTIF(Daten!$A$2:$A$393,'Material+Limits'!$P$18)+1-ROW(Daten!A18))),"")</f>
        <v/>
      </c>
      <c r="J123" t="str">
        <f t="array" aca="1" ref="J123" ca="1">IFERROR(INDEX(Daten!$Z$2:$Z$393,LARGE((Daten!$A$2:$A$393='Material+Limits'!$P$18)*(ROW(Daten!$A$2:$A$393)-1),COUNTIF(Daten!$A$2:$A$393,'Material+Limits'!$P$18)+1-ROW(Daten!A18))),"")</f>
        <v/>
      </c>
      <c r="K123" t="str">
        <f t="array" aca="1" ref="K123" ca="1">IFERROR(INDEX(Daten!$AA$2:$AA$393,LARGE((Daten!$A$2:$A$393='Material+Limits'!$P$18)*(ROW(Daten!$A$2:$A$393)-1),COUNTIF(Daten!$A$2:$A$393,'Material+Limits'!$P$18)+1-ROW(Daten!A18))),"")</f>
        <v/>
      </c>
      <c r="L123" s="2" t="str">
        <f t="array" aca="1" ref="L123" ca="1">IFERROR(INDEX(Daten!$AC$2:$AC$393,LARGE((Daten!$A$2:$A$393='Material+Limits'!$P$18)*(ROW(Daten!$A$2:$A$393)-1),COUNTIF(Daten!$A$2:$A$393,'Material+Limits'!$P$18)+1-ROW(Daten!A18))),"")</f>
        <v/>
      </c>
      <c r="M123" t="str">
        <f t="array" aca="1" ref="M123" ca="1">IFERROR(INDEX(Daten!$AD$2:$AD$393,LARGE((Daten!$A$2:$A$393='Material+Limits'!$P$18)*(ROW(Daten!$A$2:$A$393)-1),COUNTIF(Daten!$A$2:$A$393,'Material+Limits'!$P$18)+1-ROW(Daten!A18))),"")</f>
        <v/>
      </c>
      <c r="N123" s="2" t="str">
        <f t="array" aca="1" ref="N123" ca="1">IFERROR(INDEX(Daten!$AI$2:$AI$393,LARGE((Daten!$A$2:$A$393='Material+Limits'!$P$18)*(ROW(Daten!$A$2:$A$393)-1),COUNTIF(Daten!$A$2:$A$393,'Material+Limits'!$P$18)+1-ROW(Daten!A18))),"")</f>
        <v/>
      </c>
      <c r="O123" t="str">
        <f t="array" aca="1" ref="O123" ca="1">IFERROR(INDEX(Daten!$AJ$2:$AJ$393,LARGE((Daten!$A$2:$A$393='Material+Limits'!$P$18)*(ROW(Daten!$A$2:$A$393)-1),COUNTIF(Daten!$A$2:$A$393,'Material+Limits'!$P$18)+1-ROW(Daten!A18))),"")</f>
        <v/>
      </c>
      <c r="P123" t="str">
        <f t="array" aca="1" ref="P123" ca="1">IFERROR(INDEX(Daten!$AM$2:$AM$393,LARGE((Daten!$A$2:$A$393='Material+Limits'!$P$18)*(ROW(Daten!$A$2:$A$393)-1),COUNTIF(Daten!$A$2:$A$393,'Material+Limits'!$P$18)+1-ROW(Daten!A18))),"")</f>
        <v/>
      </c>
      <c r="Q123" t="str">
        <f t="array" aca="1" ref="Q123" ca="1">IFERROR(INDEX(Daten!$AN$2:$AN$393,LARGE((Daten!$A$2:$A$393='Material+Limits'!$P$18)*(ROW(Daten!$A$2:$A$393)-1),COUNTIF(Daten!$A$2:$A$393,'Material+Limits'!$P$18)+1-ROW(Daten!A18))),"")</f>
        <v/>
      </c>
      <c r="R123" s="186" t="str">
        <f t="shared" ca="1" si="1"/>
        <v/>
      </c>
      <c r="S123" s="186" t="str">
        <f t="shared" ca="1" si="2"/>
        <v/>
      </c>
    </row>
    <row r="124" spans="1:19" x14ac:dyDescent="0.25">
      <c r="A124" s="186" t="str">
        <f t="shared" ca="1" si="3"/>
        <v/>
      </c>
      <c r="B124" t="str">
        <f t="array" aca="1" ref="B124" ca="1">IFERROR(INDEX(Daten!$T$2:$T$393,LARGE((Daten!$A$2:$A$393='Material+Limits'!$P$18)*(ROW(Daten!$A$2:$A$393)-1),COUNTIF(Daten!$A$2:$A$393,'Material+Limits'!$P$18)+1-ROW(Daten!A19))),"")</f>
        <v/>
      </c>
      <c r="D124" t="str">
        <f t="array" aca="1" ref="D124" ca="1">IFERROR(INDEX(Daten!$AF$2:$AF$393,LARGE((Daten!$A$2:$A$393='Material+Limits'!$P$18)*(ROW(Daten!$A$2:$A$393)-1),COUNTIF(Daten!$A$2:$A$393,'Material+Limits'!$P$18)+1-ROW(Daten!A19))),"")</f>
        <v/>
      </c>
      <c r="E124" t="str">
        <f t="array" aca="1" ref="E124" ca="1">IFERROR(INDEX(Daten!$AE$2:$AE$393,LARGE((Daten!$A$2:$A$393='Material+Limits'!$P$18)*(ROW(Daten!$A$2:$A$393)-1),COUNTIF(Daten!$A$2:$A$393,'Material+Limits'!$P$18)+1-ROW(Daten!A19))),"")</f>
        <v/>
      </c>
      <c r="F124" t="str">
        <f t="array" aca="1" ref="F124" ca="1">IFERROR(INDEX(Daten!$AG$2:$AG$393,LARGE((Daten!$A$2:$A$393='Material+Limits'!$P$18)*(ROW(Daten!$A$2:$A$393)-1),COUNTIF(Daten!$A$2:$A$393,'Material+Limits'!$P$18)+1-ROW(Daten!A19))),"")</f>
        <v/>
      </c>
      <c r="H124" t="str">
        <f t="array" aca="1" ref="H124" ca="1">IFERROR(INDEX(Daten!$AH$2:$AH$393,LARGE((Daten!$A$2:$A$393='Material+Limits'!$P$18)*(ROW(Daten!$A$2:$A$393)-1),COUNTIF(Daten!$A$2:$A$393,'Material+Limits'!$P$18)+1-ROW(Daten!A19))),"")</f>
        <v/>
      </c>
      <c r="J124" t="str">
        <f t="array" aca="1" ref="J124" ca="1">IFERROR(INDEX(Daten!$Z$2:$Z$393,LARGE((Daten!$A$2:$A$393='Material+Limits'!$P$18)*(ROW(Daten!$A$2:$A$393)-1),COUNTIF(Daten!$A$2:$A$393,'Material+Limits'!$P$18)+1-ROW(Daten!A19))),"")</f>
        <v/>
      </c>
      <c r="K124" t="str">
        <f t="array" aca="1" ref="K124" ca="1">IFERROR(INDEX(Daten!$AA$2:$AA$393,LARGE((Daten!$A$2:$A$393='Material+Limits'!$P$18)*(ROW(Daten!$A$2:$A$393)-1),COUNTIF(Daten!$A$2:$A$393,'Material+Limits'!$P$18)+1-ROW(Daten!A19))),"")</f>
        <v/>
      </c>
      <c r="L124" s="2" t="str">
        <f t="array" aca="1" ref="L124" ca="1">IFERROR(INDEX(Daten!$AC$2:$AC$393,LARGE((Daten!$A$2:$A$393='Material+Limits'!$P$18)*(ROW(Daten!$A$2:$A$393)-1),COUNTIF(Daten!$A$2:$A$393,'Material+Limits'!$P$18)+1-ROW(Daten!A19))),"")</f>
        <v/>
      </c>
      <c r="M124" t="str">
        <f t="array" aca="1" ref="M124" ca="1">IFERROR(INDEX(Daten!$AD$2:$AD$393,LARGE((Daten!$A$2:$A$393='Material+Limits'!$P$18)*(ROW(Daten!$A$2:$A$393)-1),COUNTIF(Daten!$A$2:$A$393,'Material+Limits'!$P$18)+1-ROW(Daten!A19))),"")</f>
        <v/>
      </c>
      <c r="N124" s="2" t="str">
        <f t="array" aca="1" ref="N124" ca="1">IFERROR(INDEX(Daten!$AI$2:$AI$393,LARGE((Daten!$A$2:$A$393='Material+Limits'!$P$18)*(ROW(Daten!$A$2:$A$393)-1),COUNTIF(Daten!$A$2:$A$393,'Material+Limits'!$P$18)+1-ROW(Daten!A19))),"")</f>
        <v/>
      </c>
      <c r="O124" t="str">
        <f t="array" aca="1" ref="O124" ca="1">IFERROR(INDEX(Daten!$AJ$2:$AJ$393,LARGE((Daten!$A$2:$A$393='Material+Limits'!$P$18)*(ROW(Daten!$A$2:$A$393)-1),COUNTIF(Daten!$A$2:$A$393,'Material+Limits'!$P$18)+1-ROW(Daten!A19))),"")</f>
        <v/>
      </c>
      <c r="P124" t="str">
        <f t="array" aca="1" ref="P124" ca="1">IFERROR(INDEX(Daten!$AM$2:$AM$393,LARGE((Daten!$A$2:$A$393='Material+Limits'!$P$18)*(ROW(Daten!$A$2:$A$393)-1),COUNTIF(Daten!$A$2:$A$393,'Material+Limits'!$P$18)+1-ROW(Daten!A19))),"")</f>
        <v/>
      </c>
      <c r="Q124" t="str">
        <f t="array" aca="1" ref="Q124" ca="1">IFERROR(INDEX(Daten!$AN$2:$AN$393,LARGE((Daten!$A$2:$A$393='Material+Limits'!$P$18)*(ROW(Daten!$A$2:$A$393)-1),COUNTIF(Daten!$A$2:$A$393,'Material+Limits'!$P$18)+1-ROW(Daten!A19))),"")</f>
        <v/>
      </c>
      <c r="R124" s="186" t="str">
        <f t="shared" ca="1" si="1"/>
        <v/>
      </c>
      <c r="S124" s="186" t="str">
        <f t="shared" ca="1" si="2"/>
        <v/>
      </c>
    </row>
    <row r="125" spans="1:19" x14ac:dyDescent="0.25">
      <c r="A125" s="186" t="str">
        <f t="shared" ca="1" si="3"/>
        <v/>
      </c>
      <c r="B125" t="str">
        <f t="array" aca="1" ref="B125" ca="1">IFERROR(INDEX(Daten!$T$2:$T$393,LARGE((Daten!$A$2:$A$393='Material+Limits'!$P$18)*(ROW(Daten!$A$2:$A$393)-1),COUNTIF(Daten!$A$2:$A$393,'Material+Limits'!$P$18)+1-ROW(Daten!A20))),"")</f>
        <v/>
      </c>
      <c r="D125" t="str">
        <f t="array" aca="1" ref="D125" ca="1">IFERROR(INDEX(Daten!$AF$2:$AF$393,LARGE((Daten!$A$2:$A$393='Material+Limits'!$P$18)*(ROW(Daten!$A$2:$A$393)-1),COUNTIF(Daten!$A$2:$A$393,'Material+Limits'!$P$18)+1-ROW(Daten!A20))),"")</f>
        <v/>
      </c>
      <c r="E125" t="str">
        <f t="array" aca="1" ref="E125" ca="1">IFERROR(INDEX(Daten!$AE$2:$AE$393,LARGE((Daten!$A$2:$A$393='Material+Limits'!$P$18)*(ROW(Daten!$A$2:$A$393)-1),COUNTIF(Daten!$A$2:$A$393,'Material+Limits'!$P$18)+1-ROW(Daten!A20))),"")</f>
        <v/>
      </c>
      <c r="F125" t="str">
        <f t="array" aca="1" ref="F125" ca="1">IFERROR(INDEX(Daten!$AG$2:$AG$393,LARGE((Daten!$A$2:$A$393='Material+Limits'!$P$18)*(ROW(Daten!$A$2:$A$393)-1),COUNTIF(Daten!$A$2:$A$393,'Material+Limits'!$P$18)+1-ROW(Daten!A20))),"")</f>
        <v/>
      </c>
      <c r="H125" t="str">
        <f t="array" aca="1" ref="H125" ca="1">IFERROR(INDEX(Daten!$AH$2:$AH$393,LARGE((Daten!$A$2:$A$393='Material+Limits'!$P$18)*(ROW(Daten!$A$2:$A$393)-1),COUNTIF(Daten!$A$2:$A$393,'Material+Limits'!$P$18)+1-ROW(Daten!A20))),"")</f>
        <v/>
      </c>
      <c r="J125" t="str">
        <f t="array" aca="1" ref="J125" ca="1">IFERROR(INDEX(Daten!$Z$2:$Z$393,LARGE((Daten!$A$2:$A$393='Material+Limits'!$P$18)*(ROW(Daten!$A$2:$A$393)-1),COUNTIF(Daten!$A$2:$A$393,'Material+Limits'!$P$18)+1-ROW(Daten!A20))),"")</f>
        <v/>
      </c>
      <c r="K125" t="str">
        <f t="array" aca="1" ref="K125" ca="1">IFERROR(INDEX(Daten!$AA$2:$AA$393,LARGE((Daten!$A$2:$A$393='Material+Limits'!$P$18)*(ROW(Daten!$A$2:$A$393)-1),COUNTIF(Daten!$A$2:$A$393,'Material+Limits'!$P$18)+1-ROW(Daten!A20))),"")</f>
        <v/>
      </c>
      <c r="L125" s="2" t="str">
        <f t="array" aca="1" ref="L125" ca="1">IFERROR(INDEX(Daten!$AC$2:$AC$393,LARGE((Daten!$A$2:$A$393='Material+Limits'!$P$18)*(ROW(Daten!$A$2:$A$393)-1),COUNTIF(Daten!$A$2:$A$393,'Material+Limits'!$P$18)+1-ROW(Daten!A20))),"")</f>
        <v/>
      </c>
      <c r="M125" t="str">
        <f t="array" aca="1" ref="M125" ca="1">IFERROR(INDEX(Daten!$AD$2:$AD$393,LARGE((Daten!$A$2:$A$393='Material+Limits'!$P$18)*(ROW(Daten!$A$2:$A$393)-1),COUNTIF(Daten!$A$2:$A$393,'Material+Limits'!$P$18)+1-ROW(Daten!A20))),"")</f>
        <v/>
      </c>
      <c r="N125" s="2" t="str">
        <f t="array" aca="1" ref="N125" ca="1">IFERROR(INDEX(Daten!$AI$2:$AI$393,LARGE((Daten!$A$2:$A$393='Material+Limits'!$P$18)*(ROW(Daten!$A$2:$A$393)-1),COUNTIF(Daten!$A$2:$A$393,'Material+Limits'!$P$18)+1-ROW(Daten!A20))),"")</f>
        <v/>
      </c>
      <c r="O125" t="str">
        <f t="array" aca="1" ref="O125" ca="1">IFERROR(INDEX(Daten!$AJ$2:$AJ$393,LARGE((Daten!$A$2:$A$393='Material+Limits'!$P$18)*(ROW(Daten!$A$2:$A$393)-1),COUNTIF(Daten!$A$2:$A$393,'Material+Limits'!$P$18)+1-ROW(Daten!A20))),"")</f>
        <v/>
      </c>
      <c r="P125" t="str">
        <f t="array" aca="1" ref="P125" ca="1">IFERROR(INDEX(Daten!$AM$2:$AM$393,LARGE((Daten!$A$2:$A$393='Material+Limits'!$P$18)*(ROW(Daten!$A$2:$A$393)-1),COUNTIF(Daten!$A$2:$A$393,'Material+Limits'!$P$18)+1-ROW(Daten!A20))),"")</f>
        <v/>
      </c>
      <c r="Q125" t="str">
        <f t="array" aca="1" ref="Q125" ca="1">IFERROR(INDEX(Daten!$AN$2:$AN$393,LARGE((Daten!$A$2:$A$393='Material+Limits'!$P$18)*(ROW(Daten!$A$2:$A$393)-1),COUNTIF(Daten!$A$2:$A$393,'Material+Limits'!$P$18)+1-ROW(Daten!A20))),"")</f>
        <v/>
      </c>
      <c r="R125" s="186" t="str">
        <f t="shared" ca="1" si="1"/>
        <v/>
      </c>
      <c r="S125" s="186" t="str">
        <f t="shared" ca="1" si="2"/>
        <v/>
      </c>
    </row>
    <row r="126" spans="1:19" x14ac:dyDescent="0.25">
      <c r="A126" s="186" t="str">
        <f t="shared" ca="1" si="3"/>
        <v/>
      </c>
      <c r="B126" t="str">
        <f t="array" aca="1" ref="B126" ca="1">IFERROR(INDEX(Daten!$T$2:$T$393,LARGE((Daten!$A$2:$A$393='Material+Limits'!$P$18)*(ROW(Daten!$A$2:$A$393)-1),COUNTIF(Daten!$A$2:$A$393,'Material+Limits'!$P$18)+1-ROW(Daten!A21))),"")</f>
        <v/>
      </c>
      <c r="D126" t="str">
        <f t="array" aca="1" ref="D126" ca="1">IFERROR(INDEX(Daten!$AF$2:$AF$393,LARGE((Daten!$A$2:$A$393='Material+Limits'!$P$18)*(ROW(Daten!$A$2:$A$393)-1),COUNTIF(Daten!$A$2:$A$393,'Material+Limits'!$P$18)+1-ROW(Daten!A21))),"")</f>
        <v/>
      </c>
      <c r="E126" t="str">
        <f t="array" aca="1" ref="E126" ca="1">IFERROR(INDEX(Daten!$AE$2:$AE$393,LARGE((Daten!$A$2:$A$393='Material+Limits'!$P$18)*(ROW(Daten!$A$2:$A$393)-1),COUNTIF(Daten!$A$2:$A$393,'Material+Limits'!$P$18)+1-ROW(Daten!A21))),"")</f>
        <v/>
      </c>
      <c r="F126" t="str">
        <f t="array" aca="1" ref="F126" ca="1">IFERROR(INDEX(Daten!$AG$2:$AG$393,LARGE((Daten!$A$2:$A$393='Material+Limits'!$P$18)*(ROW(Daten!$A$2:$A$393)-1),COUNTIF(Daten!$A$2:$A$393,'Material+Limits'!$P$18)+1-ROW(Daten!A21))),"")</f>
        <v/>
      </c>
      <c r="H126" t="str">
        <f t="array" aca="1" ref="H126" ca="1">IFERROR(INDEX(Daten!$AH$2:$AH$393,LARGE((Daten!$A$2:$A$393='Material+Limits'!$P$18)*(ROW(Daten!$A$2:$A$393)-1),COUNTIF(Daten!$A$2:$A$393,'Material+Limits'!$P$18)+1-ROW(Daten!A21))),"")</f>
        <v/>
      </c>
      <c r="J126" t="str">
        <f t="array" aca="1" ref="J126" ca="1">IFERROR(INDEX(Daten!$Z$2:$Z$393,LARGE((Daten!$A$2:$A$393='Material+Limits'!$P$18)*(ROW(Daten!$A$2:$A$393)-1),COUNTIF(Daten!$A$2:$A$393,'Material+Limits'!$P$18)+1-ROW(Daten!A21))),"")</f>
        <v/>
      </c>
      <c r="K126" t="str">
        <f t="array" aca="1" ref="K126" ca="1">IFERROR(INDEX(Daten!$AA$2:$AA$393,LARGE((Daten!$A$2:$A$393='Material+Limits'!$P$18)*(ROW(Daten!$A$2:$A$393)-1),COUNTIF(Daten!$A$2:$A$393,'Material+Limits'!$P$18)+1-ROW(Daten!A21))),"")</f>
        <v/>
      </c>
      <c r="L126" s="2" t="str">
        <f t="array" aca="1" ref="L126" ca="1">IFERROR(INDEX(Daten!$AC$2:$AC$393,LARGE((Daten!$A$2:$A$393='Material+Limits'!$P$18)*(ROW(Daten!$A$2:$A$393)-1),COUNTIF(Daten!$A$2:$A$393,'Material+Limits'!$P$18)+1-ROW(Daten!A21))),"")</f>
        <v/>
      </c>
      <c r="M126" t="str">
        <f t="array" aca="1" ref="M126" ca="1">IFERROR(INDEX(Daten!$AD$2:$AD$393,LARGE((Daten!$A$2:$A$393='Material+Limits'!$P$18)*(ROW(Daten!$A$2:$A$393)-1),COUNTIF(Daten!$A$2:$A$393,'Material+Limits'!$P$18)+1-ROW(Daten!A21))),"")</f>
        <v/>
      </c>
      <c r="N126" s="2" t="str">
        <f t="array" aca="1" ref="N126" ca="1">IFERROR(INDEX(Daten!$AI$2:$AI$393,LARGE((Daten!$A$2:$A$393='Material+Limits'!$P$18)*(ROW(Daten!$A$2:$A$393)-1),COUNTIF(Daten!$A$2:$A$393,'Material+Limits'!$P$18)+1-ROW(Daten!A21))),"")</f>
        <v/>
      </c>
      <c r="O126" t="str">
        <f t="array" aca="1" ref="O126" ca="1">IFERROR(INDEX(Daten!$AJ$2:$AJ$393,LARGE((Daten!$A$2:$A$393='Material+Limits'!$P$18)*(ROW(Daten!$A$2:$A$393)-1),COUNTIF(Daten!$A$2:$A$393,'Material+Limits'!$P$18)+1-ROW(Daten!A21))),"")</f>
        <v/>
      </c>
      <c r="P126" t="str">
        <f t="array" aca="1" ref="P126" ca="1">IFERROR(INDEX(Daten!$AM$2:$AM$393,LARGE((Daten!$A$2:$A$393='Material+Limits'!$P$18)*(ROW(Daten!$A$2:$A$393)-1),COUNTIF(Daten!$A$2:$A$393,'Material+Limits'!$P$18)+1-ROW(Daten!A21))),"")</f>
        <v/>
      </c>
      <c r="Q126" t="str">
        <f t="array" aca="1" ref="Q126" ca="1">IFERROR(INDEX(Daten!$AN$2:$AN$393,LARGE((Daten!$A$2:$A$393='Material+Limits'!$P$18)*(ROW(Daten!$A$2:$A$393)-1),COUNTIF(Daten!$A$2:$A$393,'Material+Limits'!$P$18)+1-ROW(Daten!A21))),"")</f>
        <v/>
      </c>
      <c r="R126" s="186" t="str">
        <f t="shared" ca="1" si="1"/>
        <v/>
      </c>
      <c r="S126" s="186" t="str">
        <f t="shared" ca="1" si="2"/>
        <v/>
      </c>
    </row>
    <row r="127" spans="1:19" x14ac:dyDescent="0.25">
      <c r="A127" s="186" t="str">
        <f t="shared" ca="1" si="3"/>
        <v/>
      </c>
      <c r="B127" t="str">
        <f t="array" aca="1" ref="B127" ca="1">IFERROR(INDEX(Daten!$T$2:$T$393,LARGE((Daten!$A$2:$A$393='Material+Limits'!$P$18)*(ROW(Daten!$A$2:$A$393)-1),COUNTIF(Daten!$A$2:$A$393,'Material+Limits'!$P$18)+1-ROW(Daten!A22))),"")</f>
        <v/>
      </c>
      <c r="D127" t="str">
        <f t="array" aca="1" ref="D127" ca="1">IFERROR(INDEX(Daten!$AF$2:$AF$393,LARGE((Daten!$A$2:$A$393='Material+Limits'!$P$18)*(ROW(Daten!$A$2:$A$393)-1),COUNTIF(Daten!$A$2:$A$393,'Material+Limits'!$P$18)+1-ROW(Daten!A22))),"")</f>
        <v/>
      </c>
      <c r="E127" t="str">
        <f t="array" aca="1" ref="E127" ca="1">IFERROR(INDEX(Daten!$AE$2:$AE$393,LARGE((Daten!$A$2:$A$393='Material+Limits'!$P$18)*(ROW(Daten!$A$2:$A$393)-1),COUNTIF(Daten!$A$2:$A$393,'Material+Limits'!$P$18)+1-ROW(Daten!A22))),"")</f>
        <v/>
      </c>
      <c r="F127" t="str">
        <f t="array" aca="1" ref="F127" ca="1">IFERROR(INDEX(Daten!$AG$2:$AG$393,LARGE((Daten!$A$2:$A$393='Material+Limits'!$P$18)*(ROW(Daten!$A$2:$A$393)-1),COUNTIF(Daten!$A$2:$A$393,'Material+Limits'!$P$18)+1-ROW(Daten!A22))),"")</f>
        <v/>
      </c>
      <c r="H127" t="str">
        <f t="array" aca="1" ref="H127" ca="1">IFERROR(INDEX(Daten!$AH$2:$AH$393,LARGE((Daten!$A$2:$A$393='Material+Limits'!$P$18)*(ROW(Daten!$A$2:$A$393)-1),COUNTIF(Daten!$A$2:$A$393,'Material+Limits'!$P$18)+1-ROW(Daten!A22))),"")</f>
        <v/>
      </c>
      <c r="J127" t="str">
        <f t="array" aca="1" ref="J127" ca="1">IFERROR(INDEX(Daten!$Z$2:$Z$393,LARGE((Daten!$A$2:$A$393='Material+Limits'!$P$18)*(ROW(Daten!$A$2:$A$393)-1),COUNTIF(Daten!$A$2:$A$393,'Material+Limits'!$P$18)+1-ROW(Daten!A22))),"")</f>
        <v/>
      </c>
      <c r="K127" t="str">
        <f t="array" aca="1" ref="K127" ca="1">IFERROR(INDEX(Daten!$AA$2:$AA$393,LARGE((Daten!$A$2:$A$393='Material+Limits'!$P$18)*(ROW(Daten!$A$2:$A$393)-1),COUNTIF(Daten!$A$2:$A$393,'Material+Limits'!$P$18)+1-ROW(Daten!A22))),"")</f>
        <v/>
      </c>
      <c r="L127" s="2" t="str">
        <f t="array" aca="1" ref="L127" ca="1">IFERROR(INDEX(Daten!$AC$2:$AC$393,LARGE((Daten!$A$2:$A$393='Material+Limits'!$P$18)*(ROW(Daten!$A$2:$A$393)-1),COUNTIF(Daten!$A$2:$A$393,'Material+Limits'!$P$18)+1-ROW(Daten!A22))),"")</f>
        <v/>
      </c>
      <c r="M127" t="str">
        <f t="array" aca="1" ref="M127" ca="1">IFERROR(INDEX(Daten!$AD$2:$AD$393,LARGE((Daten!$A$2:$A$393='Material+Limits'!$P$18)*(ROW(Daten!$A$2:$A$393)-1),COUNTIF(Daten!$A$2:$A$393,'Material+Limits'!$P$18)+1-ROW(Daten!A22))),"")</f>
        <v/>
      </c>
      <c r="N127" s="2" t="str">
        <f t="array" aca="1" ref="N127" ca="1">IFERROR(INDEX(Daten!$AI$2:$AI$393,LARGE((Daten!$A$2:$A$393='Material+Limits'!$P$18)*(ROW(Daten!$A$2:$A$393)-1),COUNTIF(Daten!$A$2:$A$393,'Material+Limits'!$P$18)+1-ROW(Daten!A22))),"")</f>
        <v/>
      </c>
      <c r="O127" t="str">
        <f t="array" aca="1" ref="O127" ca="1">IFERROR(INDEX(Daten!$AJ$2:$AJ$393,LARGE((Daten!$A$2:$A$393='Material+Limits'!$P$18)*(ROW(Daten!$A$2:$A$393)-1),COUNTIF(Daten!$A$2:$A$393,'Material+Limits'!$P$18)+1-ROW(Daten!A22))),"")</f>
        <v/>
      </c>
      <c r="P127" t="str">
        <f t="array" aca="1" ref="P127" ca="1">IFERROR(INDEX(Daten!$AM$2:$AM$393,LARGE((Daten!$A$2:$A$393='Material+Limits'!$P$18)*(ROW(Daten!$A$2:$A$393)-1),COUNTIF(Daten!$A$2:$A$393,'Material+Limits'!$P$18)+1-ROW(Daten!A22))),"")</f>
        <v/>
      </c>
      <c r="Q127" t="str">
        <f t="array" aca="1" ref="Q127" ca="1">IFERROR(INDEX(Daten!$AN$2:$AN$393,LARGE((Daten!$A$2:$A$393='Material+Limits'!$P$18)*(ROW(Daten!$A$2:$A$393)-1),COUNTIF(Daten!$A$2:$A$393,'Material+Limits'!$P$18)+1-ROW(Daten!A22))),"")</f>
        <v/>
      </c>
      <c r="R127" s="186" t="str">
        <f t="shared" ca="1" si="1"/>
        <v/>
      </c>
      <c r="S127" s="186" t="str">
        <f t="shared" ca="1" si="2"/>
        <v/>
      </c>
    </row>
    <row r="128" spans="1:19" x14ac:dyDescent="0.25">
      <c r="A128" s="186" t="str">
        <f t="shared" ca="1" si="3"/>
        <v/>
      </c>
      <c r="B128" t="str">
        <f t="array" aca="1" ref="B128" ca="1">IFERROR(INDEX(Daten!$T$2:$T$393,LARGE((Daten!$A$2:$A$393='Material+Limits'!$P$18)*(ROW(Daten!$A$2:$A$393)-1),COUNTIF(Daten!$A$2:$A$393,'Material+Limits'!$P$18)+1-ROW(Daten!A23))),"")</f>
        <v/>
      </c>
      <c r="D128" t="str">
        <f t="array" aca="1" ref="D128" ca="1">IFERROR(INDEX(Daten!$AF$2:$AF$393,LARGE((Daten!$A$2:$A$393='Material+Limits'!$P$18)*(ROW(Daten!$A$2:$A$393)-1),COUNTIF(Daten!$A$2:$A$393,'Material+Limits'!$P$18)+1-ROW(Daten!A23))),"")</f>
        <v/>
      </c>
      <c r="E128" t="str">
        <f t="array" aca="1" ref="E128" ca="1">IFERROR(INDEX(Daten!$AE$2:$AE$393,LARGE((Daten!$A$2:$A$393='Material+Limits'!$P$18)*(ROW(Daten!$A$2:$A$393)-1),COUNTIF(Daten!$A$2:$A$393,'Material+Limits'!$P$18)+1-ROW(Daten!A23))),"")</f>
        <v/>
      </c>
      <c r="F128" t="str">
        <f t="array" aca="1" ref="F128" ca="1">IFERROR(INDEX(Daten!$AG$2:$AG$393,LARGE((Daten!$A$2:$A$393='Material+Limits'!$P$18)*(ROW(Daten!$A$2:$A$393)-1),COUNTIF(Daten!$A$2:$A$393,'Material+Limits'!$P$18)+1-ROW(Daten!A23))),"")</f>
        <v/>
      </c>
      <c r="H128" t="str">
        <f t="array" aca="1" ref="H128" ca="1">IFERROR(INDEX(Daten!$AH$2:$AH$393,LARGE((Daten!$A$2:$A$393='Material+Limits'!$P$18)*(ROW(Daten!$A$2:$A$393)-1),COUNTIF(Daten!$A$2:$A$393,'Material+Limits'!$P$18)+1-ROW(Daten!A23))),"")</f>
        <v/>
      </c>
      <c r="J128" t="str">
        <f t="array" aca="1" ref="J128" ca="1">IFERROR(INDEX(Daten!$Z$2:$Z$393,LARGE((Daten!$A$2:$A$393='Material+Limits'!$P$18)*(ROW(Daten!$A$2:$A$393)-1),COUNTIF(Daten!$A$2:$A$393,'Material+Limits'!$P$18)+1-ROW(Daten!A23))),"")</f>
        <v/>
      </c>
      <c r="K128" t="str">
        <f t="array" aca="1" ref="K128" ca="1">IFERROR(INDEX(Daten!$AA$2:$AA$393,LARGE((Daten!$A$2:$A$393='Material+Limits'!$P$18)*(ROW(Daten!$A$2:$A$393)-1),COUNTIF(Daten!$A$2:$A$393,'Material+Limits'!$P$18)+1-ROW(Daten!A23))),"")</f>
        <v/>
      </c>
      <c r="L128" s="2" t="str">
        <f t="array" aca="1" ref="L128" ca="1">IFERROR(INDEX(Daten!$AC$2:$AC$393,LARGE((Daten!$A$2:$A$393='Material+Limits'!$P$18)*(ROW(Daten!$A$2:$A$393)-1),COUNTIF(Daten!$A$2:$A$393,'Material+Limits'!$P$18)+1-ROW(Daten!A23))),"")</f>
        <v/>
      </c>
      <c r="M128" t="str">
        <f t="array" aca="1" ref="M128" ca="1">IFERROR(INDEX(Daten!$AD$2:$AD$393,LARGE((Daten!$A$2:$A$393='Material+Limits'!$P$18)*(ROW(Daten!$A$2:$A$393)-1),COUNTIF(Daten!$A$2:$A$393,'Material+Limits'!$P$18)+1-ROW(Daten!A23))),"")</f>
        <v/>
      </c>
      <c r="N128" s="2" t="str">
        <f t="array" aca="1" ref="N128" ca="1">IFERROR(INDEX(Daten!$AI$2:$AI$393,LARGE((Daten!$A$2:$A$393='Material+Limits'!$P$18)*(ROW(Daten!$A$2:$A$393)-1),COUNTIF(Daten!$A$2:$A$393,'Material+Limits'!$P$18)+1-ROW(Daten!A23))),"")</f>
        <v/>
      </c>
      <c r="O128" t="str">
        <f t="array" aca="1" ref="O128" ca="1">IFERROR(INDEX(Daten!$AJ$2:$AJ$393,LARGE((Daten!$A$2:$A$393='Material+Limits'!$P$18)*(ROW(Daten!$A$2:$A$393)-1),COUNTIF(Daten!$A$2:$A$393,'Material+Limits'!$P$18)+1-ROW(Daten!A23))),"")</f>
        <v/>
      </c>
      <c r="P128" t="str">
        <f t="array" aca="1" ref="P128" ca="1">IFERROR(INDEX(Daten!$AM$2:$AM$393,LARGE((Daten!$A$2:$A$393='Material+Limits'!$P$18)*(ROW(Daten!$A$2:$A$393)-1),COUNTIF(Daten!$A$2:$A$393,'Material+Limits'!$P$18)+1-ROW(Daten!A23))),"")</f>
        <v/>
      </c>
      <c r="Q128" t="str">
        <f t="array" aca="1" ref="Q128" ca="1">IFERROR(INDEX(Daten!$AN$2:$AN$393,LARGE((Daten!$A$2:$A$393='Material+Limits'!$P$18)*(ROW(Daten!$A$2:$A$393)-1),COUNTIF(Daten!$A$2:$A$393,'Material+Limits'!$P$18)+1-ROW(Daten!A23))),"")</f>
        <v/>
      </c>
      <c r="R128" s="186" t="str">
        <f t="shared" ca="1" si="1"/>
        <v/>
      </c>
      <c r="S128" s="186" t="str">
        <f t="shared" ca="1" si="2"/>
        <v/>
      </c>
    </row>
    <row r="129" spans="1:19" x14ac:dyDescent="0.25">
      <c r="A129" s="186" t="str">
        <f ca="1">IFERROR(LARGE(R129:S129,1)-SMALL(P129:Q129,1),"")</f>
        <v/>
      </c>
      <c r="B129" t="str">
        <f t="array" aca="1" ref="B129" ca="1">IFERROR(INDEX(Daten!$T$2:$T$393,LARGE((Daten!$A$2:$A$393='Material+Limits'!$P$18)*(ROW(Daten!$A$2:$A$393)-1),COUNTIF(Daten!$A$2:$A$393,'Material+Limits'!$P$18)+1-ROW(Daten!A24))),"")</f>
        <v/>
      </c>
      <c r="D129" t="str">
        <f t="array" aca="1" ref="D129" ca="1">IFERROR(INDEX(Daten!$AF$2:$AF$393,LARGE((Daten!$A$2:$A$393='Material+Limits'!$P$18)*(ROW(Daten!$A$2:$A$393)-1),COUNTIF(Daten!$A$2:$A$393,'Material+Limits'!$P$18)+1-ROW(Daten!A24))),"")</f>
        <v/>
      </c>
      <c r="E129" t="str">
        <f t="array" aca="1" ref="E129" ca="1">IFERROR(INDEX(Daten!$AE$2:$AE$393,LARGE((Daten!$A$2:$A$393='Material+Limits'!$P$18)*(ROW(Daten!$A$2:$A$393)-1),COUNTIF(Daten!$A$2:$A$393,'Material+Limits'!$P$18)+1-ROW(Daten!A24))),"")</f>
        <v/>
      </c>
      <c r="F129" t="str">
        <f t="array" aca="1" ref="F129" ca="1">IFERROR(INDEX(Daten!$AG$2:$AG$393,LARGE((Daten!$A$2:$A$393='Material+Limits'!$P$18)*(ROW(Daten!$A$2:$A$393)-1),COUNTIF(Daten!$A$2:$A$393,'Material+Limits'!$P$18)+1-ROW(Daten!A24))),"")</f>
        <v/>
      </c>
      <c r="H129" t="str">
        <f t="array" aca="1" ref="H129" ca="1">IFERROR(INDEX(Daten!$AH$2:$AH$393,LARGE((Daten!$A$2:$A$393='Material+Limits'!$P$18)*(ROW(Daten!$A$2:$A$393)-1),COUNTIF(Daten!$A$2:$A$393,'Material+Limits'!$P$18)+1-ROW(Daten!A24))),"")</f>
        <v/>
      </c>
      <c r="J129" t="str">
        <f t="array" aca="1" ref="J129" ca="1">IFERROR(INDEX(Daten!$Z$2:$Z$393,LARGE((Daten!$A$2:$A$393='Material+Limits'!$P$18)*(ROW(Daten!$A$2:$A$393)-1),COUNTIF(Daten!$A$2:$A$393,'Material+Limits'!$P$18)+1-ROW(Daten!A24))),"")</f>
        <v/>
      </c>
      <c r="K129" t="str">
        <f t="array" aca="1" ref="K129" ca="1">IFERROR(INDEX(Daten!$AA$2:$AA$393,LARGE((Daten!$A$2:$A$393='Material+Limits'!$P$18)*(ROW(Daten!$A$2:$A$393)-1),COUNTIF(Daten!$A$2:$A$393,'Material+Limits'!$P$18)+1-ROW(Daten!A24))),"")</f>
        <v/>
      </c>
      <c r="L129" s="2" t="str">
        <f t="array" aca="1" ref="L129" ca="1">IFERROR(INDEX(Daten!$AC$2:$AC$393,LARGE((Daten!$A$2:$A$393='Material+Limits'!$P$18)*(ROW(Daten!$A$2:$A$393)-1),COUNTIF(Daten!$A$2:$A$393,'Material+Limits'!$P$18)+1-ROW(Daten!A24))),"")</f>
        <v/>
      </c>
      <c r="M129" t="str">
        <f t="array" aca="1" ref="M129" ca="1">IFERROR(INDEX(Daten!$AD$2:$AD$393,LARGE((Daten!$A$2:$A$393='Material+Limits'!$P$18)*(ROW(Daten!$A$2:$A$393)-1),COUNTIF(Daten!$A$2:$A$393,'Material+Limits'!$P$18)+1-ROW(Daten!A24))),"")</f>
        <v/>
      </c>
      <c r="N129" s="2" t="str">
        <f t="array" aca="1" ref="N129" ca="1">IFERROR(INDEX(Daten!$AI$2:$AI$393,LARGE((Daten!$A$2:$A$393='Material+Limits'!$P$18)*(ROW(Daten!$A$2:$A$393)-1),COUNTIF(Daten!$A$2:$A$393,'Material+Limits'!$P$18)+1-ROW(Daten!A24))),"")</f>
        <v/>
      </c>
      <c r="O129" t="str">
        <f t="array" aca="1" ref="O129" ca="1">IFERROR(INDEX(Daten!$AJ$2:$AJ$393,LARGE((Daten!$A$2:$A$393='Material+Limits'!$P$18)*(ROW(Daten!$A$2:$A$393)-1),COUNTIF(Daten!$A$2:$A$393,'Material+Limits'!$P$18)+1-ROW(Daten!A24))),"")</f>
        <v/>
      </c>
      <c r="P129" t="str">
        <f t="array" aca="1" ref="P129" ca="1">IFERROR(INDEX(Daten!$AM$2:$AM$393,LARGE((Daten!$A$2:$A$393='Material+Limits'!$P$18)*(ROW(Daten!$A$2:$A$393)-1),COUNTIF(Daten!$A$2:$A$393,'Material+Limits'!$P$18)+1-ROW(Daten!A24))),"")</f>
        <v/>
      </c>
      <c r="Q129" t="str">
        <f t="array" aca="1" ref="Q129" ca="1">IFERROR(INDEX(Daten!$AN$2:$AN$393,LARGE((Daten!$A$2:$A$393='Material+Limits'!$P$18)*(ROW(Daten!$A$2:$A$393)-1),COUNTIF(Daten!$A$2:$A$393,'Material+Limits'!$P$18)+1-ROW(Daten!A24))),"")</f>
        <v/>
      </c>
      <c r="R129" s="186" t="str">
        <f t="shared" ca="1" si="1"/>
        <v/>
      </c>
      <c r="S129" s="186" t="str">
        <f t="shared" ca="1" si="2"/>
        <v/>
      </c>
    </row>
    <row r="130" spans="1:19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R130" s="186"/>
      <c r="S130" s="186"/>
    </row>
    <row r="131" spans="1:19" x14ac:dyDescent="0.25">
      <c r="B131" s="186" t="str">
        <f ca="1">VLOOKUP($A$105,$A$106:$Q$129,2,FALSE)</f>
        <v xml:space="preserve">Podnośnik F-20 </v>
      </c>
      <c r="C131" s="186"/>
      <c r="D131" s="186" t="str">
        <f ca="1">VLOOKUP($A$105,$A$106:$Q$129,4,FALSE)</f>
        <v>Zestaw (prawy+lewy)</v>
      </c>
      <c r="E131" s="186" t="str">
        <f ca="1">VLOOKUP($A$105,$A$106:$Q$129,5,FALSE)</f>
        <v>F152145237201</v>
      </c>
      <c r="F131" s="186" t="str">
        <f ca="1">VLOOKUP($A$105,$A$106:$Q$129,6,FALSE)</f>
        <v>Ramię Typ 2</v>
      </c>
      <c r="G131" s="186"/>
      <c r="H131" s="186" t="str">
        <f ca="1">VLOOKUP($A$105,$A$106:$Q$129,8,FALSE)</f>
        <v>Siłownik B</v>
      </c>
      <c r="I131" s="186"/>
      <c r="J131" s="186">
        <f ca="1">VLOOKUP($A$105,$A$106:$Q$129,10,FALSE)</f>
        <v>520</v>
      </c>
      <c r="K131" s="186">
        <f ca="1">VLOOKUP($A$105,$A$106:$Q$129,11,FALSE)</f>
        <v>559</v>
      </c>
      <c r="L131" s="186">
        <f ca="1">VLOOKUP($A$105,$A$106:$Q$129,12,FALSE)</f>
        <v>4.5999999999999996</v>
      </c>
      <c r="M131" s="186">
        <f ca="1">VLOOKUP($A$105,$A$106:$Q$129,13,FALSE)</f>
        <v>13.8</v>
      </c>
      <c r="N131" s="186" t="str">
        <f ca="1">VLOOKUP($A$105,$A$106:$Q$129,14,FALSE)</f>
        <v>-</v>
      </c>
      <c r="O131" s="186" t="str">
        <f ca="1">VLOOKUP($A$105,$A$106:$Q$129,15,FALSE)</f>
        <v>-</v>
      </c>
      <c r="P131" s="186" t="str">
        <f ca="1">VLOOKUP($A$105,$A$106:$Q$129,16,FALSE)</f>
        <v>TIOMOS 120° zawias</v>
      </c>
      <c r="Q131" s="186" t="str">
        <f ca="1">VLOOKUP($A$105,$A$106:$Q$129,17,FALSE)</f>
        <v>1D° prowadnik</v>
      </c>
    </row>
    <row r="133" spans="1:19" x14ac:dyDescent="0.25">
      <c r="J133" s="186" t="str">
        <f ca="1">IF(J131&lt;&gt;K131,J131 &amp; " - " &amp; K131,J131)</f>
        <v>520 - 559</v>
      </c>
      <c r="K133" s="186"/>
      <c r="L133" s="186" t="str">
        <f ca="1">L131&amp; " kg  - " &amp;M131 &amp; " kg"</f>
        <v>4,6 kg  - 13,8 kg</v>
      </c>
      <c r="M133" s="186"/>
      <c r="N133" s="186" t="str">
        <f ca="1">IF(N131&lt;&gt;"-",Sprache!A86 &amp; ": "&amp;N131&amp; "       " &amp;Sprache!A98&amp; " "&amp;O131,"")</f>
        <v/>
      </c>
      <c r="O133" s="186"/>
      <c r="P133" s="186"/>
      <c r="Q133" s="186"/>
      <c r="R133" s="186"/>
      <c r="S133" s="186"/>
    </row>
    <row r="136" spans="1:19" x14ac:dyDescent="0.25">
      <c r="M136" s="144"/>
    </row>
  </sheetData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P43"/>
  <sheetViews>
    <sheetView showRowColHeaders="0" zoomScale="90" zoomScaleNormal="90" workbookViewId="0"/>
  </sheetViews>
  <sheetFormatPr baseColWidth="10" defaultRowHeight="15" x14ac:dyDescent="0.25"/>
  <cols>
    <col min="1" max="1" width="11.42578125" style="15"/>
    <col min="2" max="2" width="31.28515625" style="15" customWidth="1"/>
    <col min="3" max="3" width="9.42578125" style="15" customWidth="1"/>
    <col min="4" max="4" width="14.7109375" style="15" customWidth="1"/>
    <col min="5" max="5" width="22.140625" style="15" customWidth="1"/>
    <col min="6" max="6" width="25.5703125" style="15" customWidth="1"/>
    <col min="7" max="7" width="5.7109375" style="15" bestFit="1" customWidth="1"/>
    <col min="8" max="9" width="4.140625" style="15" customWidth="1"/>
    <col min="10" max="11" width="4" style="15" bestFit="1" customWidth="1"/>
    <col min="12" max="12" width="4" style="15" customWidth="1"/>
    <col min="13" max="13" width="37.140625" style="15" bestFit="1" customWidth="1"/>
    <col min="14" max="14" width="11.42578125" style="15"/>
    <col min="15" max="15" width="17" style="15" bestFit="1" customWidth="1"/>
    <col min="16" max="16" width="19.140625" style="15" bestFit="1" customWidth="1"/>
    <col min="17" max="16384" width="11.42578125" style="15"/>
  </cols>
  <sheetData>
    <row r="1" spans="1:16" x14ac:dyDescent="0.25">
      <c r="A1" s="230" t="str">
        <f ca="1">Sprache!$A$95</f>
        <v>← powrót</v>
      </c>
    </row>
    <row r="2" spans="1:16" ht="31.5" x14ac:dyDescent="0.5">
      <c r="B2" s="321" t="str">
        <f ca="1">Sprache!$A$80 &amp; " KINVARO " &amp; Sprache!$A$82</f>
        <v>Rozwiązania z KINVARO 0</v>
      </c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202"/>
      <c r="P2" s="202"/>
    </row>
    <row r="3" spans="1:16" x14ac:dyDescent="0.25">
      <c r="B3" s="227"/>
      <c r="C3" s="227" t="str">
        <f ca="1">'Material+Limits'!$D$63</f>
        <v>Strona</v>
      </c>
      <c r="D3" s="227" t="str">
        <f ca="1">'Material+Limits'!$E$63</f>
        <v>Numer do zamówienia</v>
      </c>
      <c r="E3" s="227" t="str">
        <f ca="1">'Material+Limits'!$F$63</f>
        <v>Informacja</v>
      </c>
      <c r="F3" s="227" t="str">
        <f ca="1">'Material+Limits'!$H$63</f>
        <v xml:space="preserve">Siłownik/sprężyna </v>
      </c>
      <c r="G3" s="320" t="str">
        <f ca="1">'Material+Limits'!$J$63</f>
        <v>Wysokość</v>
      </c>
      <c r="H3" s="320"/>
      <c r="I3" s="228"/>
      <c r="J3" s="320" t="str">
        <f ca="1">'Material+Limits'!$L$63</f>
        <v>Ciężar</v>
      </c>
      <c r="K3" s="320"/>
      <c r="L3" s="228"/>
      <c r="M3" s="227" t="str">
        <f ca="1">'Material+Limits'!$N$63</f>
        <v>Potrzebne będą również</v>
      </c>
      <c r="N3" s="227"/>
      <c r="O3" s="227" t="str">
        <f ca="1">'Material+Limits'!P63</f>
        <v>zawias</v>
      </c>
      <c r="P3" s="227" t="str">
        <f ca="1">'Material+Limits'!Q63</f>
        <v>prowadnik</v>
      </c>
    </row>
    <row r="4" spans="1:16" x14ac:dyDescent="0.25">
      <c r="B4" s="229" t="str">
        <f ca="1">'Material+Limits'!B64</f>
        <v>Podnośnik L-80</v>
      </c>
      <c r="C4" s="229" t="str">
        <f ca="1">'Material+Limits'!D64</f>
        <v>Zestaw (prawy+lewy)</v>
      </c>
      <c r="D4" s="229" t="str">
        <f ca="1">'Material+Limits'!E64</f>
        <v>F152145253201</v>
      </c>
      <c r="E4" s="229" t="str">
        <f ca="1">'Material+Limits'!F64</f>
        <v>Ramię Typ 5</v>
      </c>
      <c r="F4" s="229" t="str">
        <f ca="1">'Material+Limits'!H64</f>
        <v>Siłownik B</v>
      </c>
      <c r="G4" s="229">
        <f ca="1">'Material+Limits'!J64</f>
        <v>430</v>
      </c>
      <c r="H4" s="229">
        <f ca="1">'Material+Limits'!K64</f>
        <v>600</v>
      </c>
      <c r="I4" s="229"/>
      <c r="J4" s="229">
        <f ca="1">'Material+Limits'!L64</f>
        <v>4</v>
      </c>
      <c r="K4" s="229">
        <f ca="1">'Material+Limits'!M64</f>
        <v>7.5</v>
      </c>
      <c r="L4" s="229"/>
      <c r="M4" s="229" t="str">
        <f ca="1">'Material+Limits'!N64</f>
        <v>-</v>
      </c>
      <c r="N4" s="229" t="str">
        <f ca="1">'Material+Limits'!O64</f>
        <v>-</v>
      </c>
      <c r="O4" s="229" t="str">
        <f ca="1">IF('Material+Limits'!P64&lt;&gt;0,'Material+Limits'!P64,"")</f>
        <v/>
      </c>
      <c r="P4" s="229" t="str">
        <f ca="1">IF('Material+Limits'!Q64&lt;&gt;0,'Material+Limits'!Q64,"")</f>
        <v/>
      </c>
    </row>
    <row r="5" spans="1:16" x14ac:dyDescent="0.25">
      <c r="B5" s="229" t="str">
        <f ca="1">'Material+Limits'!B65</f>
        <v xml:space="preserve">Podnośnik F-20 </v>
      </c>
      <c r="C5" s="229" t="str">
        <f ca="1">'Material+Limits'!D65</f>
        <v>Zestaw (prawy+lewy)</v>
      </c>
      <c r="D5" s="229" t="str">
        <f ca="1">'Material+Limits'!E65</f>
        <v>F152145237201</v>
      </c>
      <c r="E5" s="229" t="str">
        <f ca="1">'Material+Limits'!F65</f>
        <v>Ramię Typ 2</v>
      </c>
      <c r="F5" s="229" t="str">
        <f ca="1">'Material+Limits'!H65</f>
        <v>Siłownik B</v>
      </c>
      <c r="G5" s="229">
        <f ca="1">'Material+Limits'!J65</f>
        <v>520</v>
      </c>
      <c r="H5" s="229">
        <f ca="1">'Material+Limits'!K65</f>
        <v>559</v>
      </c>
      <c r="I5" s="229"/>
      <c r="J5" s="229">
        <f ca="1">'Material+Limits'!L65</f>
        <v>4.5999999999999996</v>
      </c>
      <c r="K5" s="229">
        <f ca="1">'Material+Limits'!M65</f>
        <v>13.8</v>
      </c>
      <c r="L5" s="229"/>
      <c r="M5" s="229" t="str">
        <f ca="1">'Material+Limits'!N65</f>
        <v>-</v>
      </c>
      <c r="N5" s="229" t="str">
        <f ca="1">'Material+Limits'!O65</f>
        <v>-</v>
      </c>
      <c r="O5" s="229" t="str">
        <f ca="1">IF('Material+Limits'!P65&lt;&gt;0,'Material+Limits'!P65,"")</f>
        <v>TIOMOS 120° zawias</v>
      </c>
      <c r="P5" s="229" t="str">
        <f ca="1">IF('Material+Limits'!Q65&lt;&gt;0,'Material+Limits'!Q65,"")</f>
        <v>1D° prowadnik</v>
      </c>
    </row>
    <row r="6" spans="1:16" x14ac:dyDescent="0.25">
      <c r="B6" s="229" t="str">
        <f ca="1">'Material+Limits'!B66</f>
        <v>Podnośnik T-76</v>
      </c>
      <c r="C6" s="229" t="str">
        <f ca="1">'Material+Limits'!D66</f>
        <v>Zestaw (prawy+lewy)</v>
      </c>
      <c r="D6" s="229" t="str">
        <f ca="1">'Material+Limits'!E66</f>
        <v>F151147706201</v>
      </c>
      <c r="E6" s="229" t="str">
        <f ca="1">'Material+Limits'!F66</f>
        <v>-</v>
      </c>
      <c r="F6" s="229" t="str">
        <f ca="1">'Material+Limits'!H66</f>
        <v>Sprężyna standard</v>
      </c>
      <c r="G6" s="229">
        <f ca="1">'Material+Limits'!J66</f>
        <v>550</v>
      </c>
      <c r="H6" s="229">
        <f ca="1">'Material+Limits'!K66</f>
        <v>599</v>
      </c>
      <c r="I6" s="229"/>
      <c r="J6" s="229">
        <f ca="1">'Material+Limits'!L66</f>
        <v>5.6</v>
      </c>
      <c r="K6" s="229">
        <f ca="1">'Material+Limits'!M66</f>
        <v>7.6</v>
      </c>
      <c r="L6" s="229"/>
      <c r="M6" s="229" t="str">
        <f ca="1">'Material+Limits'!N66</f>
        <v>-</v>
      </c>
      <c r="N6" s="229" t="str">
        <f ca="1">'Material+Limits'!O66</f>
        <v>-</v>
      </c>
      <c r="O6" s="229" t="str">
        <f ca="1">IF('Material+Limits'!P66&lt;&gt;0,'Material+Limits'!P66,"")</f>
        <v/>
      </c>
      <c r="P6" s="229" t="str">
        <f ca="1">IF('Material+Limits'!Q66&lt;&gt;0,'Material+Limits'!Q66,"")</f>
        <v/>
      </c>
    </row>
    <row r="7" spans="1:16" x14ac:dyDescent="0.25">
      <c r="B7" s="229" t="str">
        <f ca="1">'Material+Limits'!B67</f>
        <v xml:space="preserve">Podnośnik T-75 </v>
      </c>
      <c r="C7" s="229" t="str">
        <f ca="1">'Material+Limits'!D67</f>
        <v>Zestaw (prawy+lewy)</v>
      </c>
      <c r="D7" s="229" t="str">
        <f ca="1">'Material+Limits'!E67</f>
        <v>F151147699201</v>
      </c>
      <c r="E7" s="229" t="str">
        <f ca="1">'Material+Limits'!F67</f>
        <v>-</v>
      </c>
      <c r="F7" s="229" t="str">
        <f ca="1">'Material+Limits'!H67</f>
        <v>Sprężyna standard</v>
      </c>
      <c r="G7" s="229">
        <f ca="1">'Material+Limits'!J67</f>
        <v>550</v>
      </c>
      <c r="H7" s="229">
        <f ca="1">'Material+Limits'!K67</f>
        <v>599</v>
      </c>
      <c r="I7" s="229"/>
      <c r="J7" s="229">
        <f ca="1">'Material+Limits'!L67</f>
        <v>5.6</v>
      </c>
      <c r="K7" s="229">
        <f ca="1">'Material+Limits'!M67</f>
        <v>7.6</v>
      </c>
      <c r="L7" s="229"/>
      <c r="M7" s="229" t="str">
        <f ca="1">'Material+Limits'!N67</f>
        <v>-</v>
      </c>
      <c r="N7" s="229" t="str">
        <f ca="1">'Material+Limits'!O67</f>
        <v>-</v>
      </c>
      <c r="O7" s="229" t="str">
        <f ca="1">IF('Material+Limits'!P67&lt;&gt;0,'Material+Limits'!P67,"")</f>
        <v/>
      </c>
      <c r="P7" s="229" t="str">
        <f ca="1">IF('Material+Limits'!Q67&lt;&gt;0,'Material+Limits'!Q67,"")</f>
        <v/>
      </c>
    </row>
    <row r="8" spans="1:16" x14ac:dyDescent="0.25">
      <c r="B8" s="229" t="str">
        <f ca="1">'Material+Limits'!B68</f>
        <v>Podnośnik S-35</v>
      </c>
      <c r="C8" s="229" t="str">
        <f ca="1">'Material+Limits'!D68</f>
        <v>Zestaw (prawy+lewy)</v>
      </c>
      <c r="D8" s="229" t="str">
        <f ca="1">'Material+Limits'!E68</f>
        <v>F152000256201</v>
      </c>
      <c r="E8" s="229" t="str">
        <f ca="1">'Material+Limits'!F68</f>
        <v>-</v>
      </c>
      <c r="F8" s="229" t="str">
        <f ca="1">'Material+Limits'!H68</f>
        <v>Siłownik B</v>
      </c>
      <c r="G8" s="229">
        <f ca="1">'Material+Limits'!J68</f>
        <v>540</v>
      </c>
      <c r="H8" s="229">
        <f ca="1">'Material+Limits'!K68</f>
        <v>569</v>
      </c>
      <c r="I8" s="229"/>
      <c r="J8" s="229">
        <f ca="1">'Material+Limits'!L68</f>
        <v>5</v>
      </c>
      <c r="K8" s="229">
        <f ca="1">'Material+Limits'!M68</f>
        <v>12.5</v>
      </c>
      <c r="L8" s="229"/>
      <c r="M8" s="229" t="str">
        <f ca="1">'Material+Limits'!N68</f>
        <v>-</v>
      </c>
      <c r="N8" s="229" t="str">
        <f ca="1">'Material+Limits'!O68</f>
        <v>-</v>
      </c>
      <c r="O8" s="229" t="str">
        <f ca="1">IF('Material+Limits'!P68&lt;&gt;0,'Material+Limits'!P68,"")</f>
        <v/>
      </c>
      <c r="P8" s="229" t="str">
        <f ca="1">IF('Material+Limits'!Q68&lt;&gt;0,'Material+Limits'!Q68,"")</f>
        <v/>
      </c>
    </row>
    <row r="9" spans="1:16" x14ac:dyDescent="0.25">
      <c r="B9" s="229" t="str">
        <f ca="1">'Material+Limits'!B69</f>
        <v>Podnośnik S-35</v>
      </c>
      <c r="C9" s="229" t="str">
        <f ca="1">'Material+Limits'!D69</f>
        <v>Zestaw (prawy+lewy)</v>
      </c>
      <c r="D9" s="229" t="str">
        <f ca="1">'Material+Limits'!E69</f>
        <v>F152000257201</v>
      </c>
      <c r="E9" s="229" t="str">
        <f ca="1">'Material+Limits'!F69</f>
        <v>-</v>
      </c>
      <c r="F9" s="229" t="str">
        <f ca="1">'Material+Limits'!H69</f>
        <v>Siłownik C</v>
      </c>
      <c r="G9" s="229">
        <f ca="1">'Material+Limits'!J69</f>
        <v>540</v>
      </c>
      <c r="H9" s="229">
        <f ca="1">'Material+Limits'!K69</f>
        <v>569</v>
      </c>
      <c r="I9" s="229"/>
      <c r="J9" s="229">
        <f ca="1">'Material+Limits'!L69</f>
        <v>6</v>
      </c>
      <c r="K9" s="229">
        <f ca="1">'Material+Limits'!M69</f>
        <v>14</v>
      </c>
      <c r="L9" s="229"/>
      <c r="M9" s="229" t="str">
        <f ca="1">'Material+Limits'!N69</f>
        <v>-</v>
      </c>
      <c r="N9" s="229" t="str">
        <f ca="1">'Material+Limits'!O69</f>
        <v>-</v>
      </c>
      <c r="O9" s="229" t="str">
        <f ca="1">IF('Material+Limits'!P69&lt;&gt;0,'Material+Limits'!P69,"")</f>
        <v/>
      </c>
      <c r="P9" s="229" t="str">
        <f ca="1">IF('Material+Limits'!Q69&lt;&gt;0,'Material+Limits'!Q69,"")</f>
        <v/>
      </c>
    </row>
    <row r="10" spans="1:16" x14ac:dyDescent="0.25">
      <c r="B10" s="229" t="str">
        <f ca="1">'Material+Limits'!B70</f>
        <v/>
      </c>
      <c r="C10" s="229" t="str">
        <f ca="1">'Material+Limits'!D70</f>
        <v/>
      </c>
      <c r="D10" s="229" t="str">
        <f ca="1">'Material+Limits'!E70</f>
        <v/>
      </c>
      <c r="E10" s="229" t="str">
        <f ca="1">'Material+Limits'!F70</f>
        <v/>
      </c>
      <c r="F10" s="229" t="str">
        <f ca="1">'Material+Limits'!H70</f>
        <v/>
      </c>
      <c r="G10" s="229" t="str">
        <f ca="1">'Material+Limits'!J70</f>
        <v/>
      </c>
      <c r="H10" s="229" t="str">
        <f ca="1">'Material+Limits'!K70</f>
        <v/>
      </c>
      <c r="I10" s="229"/>
      <c r="J10" s="229" t="str">
        <f ca="1">'Material+Limits'!L70</f>
        <v/>
      </c>
      <c r="K10" s="229" t="str">
        <f ca="1">'Material+Limits'!M70</f>
        <v/>
      </c>
      <c r="L10" s="229"/>
      <c r="M10" s="229" t="str">
        <f ca="1">'Material+Limits'!N70</f>
        <v/>
      </c>
      <c r="N10" s="229" t="str">
        <f ca="1">'Material+Limits'!O70</f>
        <v/>
      </c>
      <c r="O10" s="229" t="str">
        <f ca="1">IF('Material+Limits'!P70&lt;&gt;0,'Material+Limits'!P70,"")</f>
        <v/>
      </c>
      <c r="P10" s="229" t="str">
        <f ca="1">IF('Material+Limits'!Q70&lt;&gt;0,'Material+Limits'!Q70,"")</f>
        <v/>
      </c>
    </row>
    <row r="11" spans="1:16" x14ac:dyDescent="0.25">
      <c r="B11" s="229" t="str">
        <f ca="1">'Material+Limits'!B71</f>
        <v/>
      </c>
      <c r="C11" s="229" t="str">
        <f ca="1">'Material+Limits'!D71</f>
        <v/>
      </c>
      <c r="D11" s="229" t="str">
        <f ca="1">'Material+Limits'!E71</f>
        <v/>
      </c>
      <c r="E11" s="229" t="str">
        <f ca="1">'Material+Limits'!F71</f>
        <v/>
      </c>
      <c r="F11" s="229" t="str">
        <f ca="1">'Material+Limits'!H71</f>
        <v/>
      </c>
      <c r="G11" s="229" t="str">
        <f ca="1">'Material+Limits'!J71</f>
        <v/>
      </c>
      <c r="H11" s="229" t="str">
        <f ca="1">'Material+Limits'!K71</f>
        <v/>
      </c>
      <c r="I11" s="229"/>
      <c r="J11" s="229" t="str">
        <f ca="1">'Material+Limits'!L71</f>
        <v/>
      </c>
      <c r="K11" s="229" t="str">
        <f ca="1">'Material+Limits'!M71</f>
        <v/>
      </c>
      <c r="L11" s="229"/>
      <c r="M11" s="229" t="str">
        <f ca="1">'Material+Limits'!N71</f>
        <v/>
      </c>
      <c r="N11" s="229" t="str">
        <f ca="1">'Material+Limits'!O71</f>
        <v/>
      </c>
      <c r="O11" s="229" t="str">
        <f ca="1">IF('Material+Limits'!P71&lt;&gt;0,'Material+Limits'!P71,"")</f>
        <v/>
      </c>
      <c r="P11" s="229" t="str">
        <f ca="1">IF('Material+Limits'!Q71&lt;&gt;0,'Material+Limits'!Q71,"")</f>
        <v/>
      </c>
    </row>
    <row r="12" spans="1:16" x14ac:dyDescent="0.25">
      <c r="B12" s="229" t="str">
        <f ca="1">'Material+Limits'!B72</f>
        <v/>
      </c>
      <c r="C12" s="229" t="str">
        <f ca="1">'Material+Limits'!D72</f>
        <v/>
      </c>
      <c r="D12" s="229" t="str">
        <f ca="1">'Material+Limits'!E72</f>
        <v/>
      </c>
      <c r="E12" s="229" t="str">
        <f ca="1">'Material+Limits'!F72</f>
        <v/>
      </c>
      <c r="F12" s="229" t="str">
        <f ca="1">'Material+Limits'!H72</f>
        <v/>
      </c>
      <c r="G12" s="229" t="str">
        <f ca="1">'Material+Limits'!J72</f>
        <v/>
      </c>
      <c r="H12" s="229" t="str">
        <f ca="1">'Material+Limits'!K72</f>
        <v/>
      </c>
      <c r="I12" s="229"/>
      <c r="J12" s="229" t="str">
        <f ca="1">'Material+Limits'!L72</f>
        <v/>
      </c>
      <c r="K12" s="229" t="str">
        <f ca="1">'Material+Limits'!M72</f>
        <v/>
      </c>
      <c r="L12" s="229"/>
      <c r="M12" s="229" t="str">
        <f ca="1">'Material+Limits'!N72</f>
        <v/>
      </c>
      <c r="N12" s="229" t="str">
        <f ca="1">'Material+Limits'!O72</f>
        <v/>
      </c>
      <c r="O12" s="229" t="str">
        <f ca="1">IF('Material+Limits'!P72&lt;&gt;0,'Material+Limits'!P72,"")</f>
        <v/>
      </c>
      <c r="P12" s="229" t="str">
        <f ca="1">IF('Material+Limits'!Q72&lt;&gt;0,'Material+Limits'!Q72,"")</f>
        <v/>
      </c>
    </row>
    <row r="13" spans="1:16" x14ac:dyDescent="0.25">
      <c r="B13" s="229" t="str">
        <f ca="1">'Material+Limits'!B73</f>
        <v/>
      </c>
      <c r="C13" s="229" t="str">
        <f ca="1">'Material+Limits'!D73</f>
        <v/>
      </c>
      <c r="D13" s="229" t="str">
        <f ca="1">'Material+Limits'!E73</f>
        <v/>
      </c>
      <c r="E13" s="229" t="str">
        <f ca="1">'Material+Limits'!F73</f>
        <v/>
      </c>
      <c r="F13" s="229" t="str">
        <f ca="1">'Material+Limits'!H73</f>
        <v/>
      </c>
      <c r="G13" s="229" t="str">
        <f ca="1">'Material+Limits'!J73</f>
        <v/>
      </c>
      <c r="H13" s="229" t="str">
        <f ca="1">'Material+Limits'!K73</f>
        <v/>
      </c>
      <c r="I13" s="229"/>
      <c r="J13" s="229" t="str">
        <f ca="1">'Material+Limits'!L73</f>
        <v/>
      </c>
      <c r="K13" s="229" t="str">
        <f ca="1">'Material+Limits'!M73</f>
        <v/>
      </c>
      <c r="L13" s="229"/>
      <c r="M13" s="229" t="str">
        <f ca="1">'Material+Limits'!N73</f>
        <v/>
      </c>
      <c r="N13" s="229" t="str">
        <f ca="1">'Material+Limits'!O73</f>
        <v/>
      </c>
      <c r="O13" s="229" t="str">
        <f ca="1">IF('Material+Limits'!P73&lt;&gt;0,'Material+Limits'!P73,"")</f>
        <v/>
      </c>
      <c r="P13" s="229" t="str">
        <f ca="1">IF('Material+Limits'!Q73&lt;&gt;0,'Material+Limits'!Q73,"")</f>
        <v/>
      </c>
    </row>
    <row r="14" spans="1:16" x14ac:dyDescent="0.25">
      <c r="B14" s="229" t="str">
        <f ca="1">'Material+Limits'!B74</f>
        <v/>
      </c>
      <c r="C14" s="229" t="str">
        <f ca="1">'Material+Limits'!D74</f>
        <v/>
      </c>
      <c r="D14" s="229" t="str">
        <f ca="1">'Material+Limits'!E74</f>
        <v/>
      </c>
      <c r="E14" s="229" t="str">
        <f ca="1">'Material+Limits'!F74</f>
        <v/>
      </c>
      <c r="F14" s="229" t="str">
        <f ca="1">'Material+Limits'!H74</f>
        <v/>
      </c>
      <c r="G14" s="229" t="str">
        <f ca="1">'Material+Limits'!J74</f>
        <v/>
      </c>
      <c r="H14" s="229" t="str">
        <f ca="1">'Material+Limits'!K74</f>
        <v/>
      </c>
      <c r="I14" s="229"/>
      <c r="J14" s="229" t="str">
        <f ca="1">'Material+Limits'!L74</f>
        <v/>
      </c>
      <c r="K14" s="229" t="str">
        <f ca="1">'Material+Limits'!M74</f>
        <v/>
      </c>
      <c r="L14" s="229"/>
      <c r="M14" s="229" t="str">
        <f ca="1">'Material+Limits'!N74</f>
        <v/>
      </c>
      <c r="N14" s="229" t="str">
        <f ca="1">'Material+Limits'!O74</f>
        <v/>
      </c>
      <c r="O14" s="229" t="str">
        <f ca="1">IF('Material+Limits'!P74&lt;&gt;0,'Material+Limits'!P74,"")</f>
        <v/>
      </c>
      <c r="P14" s="229" t="str">
        <f ca="1">IF('Material+Limits'!Q74&lt;&gt;0,'Material+Limits'!Q74,"")</f>
        <v/>
      </c>
    </row>
    <row r="15" spans="1:16" x14ac:dyDescent="0.25">
      <c r="B15" s="229" t="str">
        <f ca="1">'Material+Limits'!B75</f>
        <v/>
      </c>
      <c r="C15" s="229" t="str">
        <f ca="1">'Material+Limits'!D75</f>
        <v/>
      </c>
      <c r="D15" s="229" t="str">
        <f ca="1">'Material+Limits'!E75</f>
        <v/>
      </c>
      <c r="E15" s="229" t="str">
        <f ca="1">'Material+Limits'!F75</f>
        <v/>
      </c>
      <c r="F15" s="229" t="str">
        <f ca="1">'Material+Limits'!H75</f>
        <v/>
      </c>
      <c r="G15" s="229" t="str">
        <f ca="1">'Material+Limits'!J75</f>
        <v/>
      </c>
      <c r="H15" s="229" t="str">
        <f ca="1">'Material+Limits'!K75</f>
        <v/>
      </c>
      <c r="I15" s="229"/>
      <c r="J15" s="229" t="str">
        <f ca="1">'Material+Limits'!L75</f>
        <v/>
      </c>
      <c r="K15" s="229" t="str">
        <f ca="1">'Material+Limits'!M75</f>
        <v/>
      </c>
      <c r="L15" s="229"/>
      <c r="M15" s="229" t="str">
        <f ca="1">'Material+Limits'!N75</f>
        <v/>
      </c>
      <c r="N15" s="229" t="str">
        <f ca="1">'Material+Limits'!O75</f>
        <v/>
      </c>
      <c r="O15" s="229" t="str">
        <f ca="1">IF('Material+Limits'!P75&lt;&gt;0,'Material+Limits'!P75,"")</f>
        <v/>
      </c>
      <c r="P15" s="229" t="str">
        <f ca="1">IF('Material+Limits'!Q75&lt;&gt;0,'Material+Limits'!Q75,"")</f>
        <v/>
      </c>
    </row>
    <row r="16" spans="1:16" x14ac:dyDescent="0.25">
      <c r="B16" s="229" t="str">
        <f ca="1">'Material+Limits'!B76</f>
        <v/>
      </c>
      <c r="C16" s="229" t="str">
        <f ca="1">'Material+Limits'!D76</f>
        <v/>
      </c>
      <c r="D16" s="229" t="str">
        <f ca="1">'Material+Limits'!E76</f>
        <v/>
      </c>
      <c r="E16" s="229" t="str">
        <f ca="1">'Material+Limits'!F76</f>
        <v/>
      </c>
      <c r="F16" s="229" t="str">
        <f ca="1">'Material+Limits'!H76</f>
        <v/>
      </c>
      <c r="G16" s="229" t="str">
        <f ca="1">'Material+Limits'!J76</f>
        <v/>
      </c>
      <c r="H16" s="229" t="str">
        <f ca="1">'Material+Limits'!K76</f>
        <v/>
      </c>
      <c r="I16" s="229"/>
      <c r="J16" s="229" t="str">
        <f ca="1">'Material+Limits'!L76</f>
        <v/>
      </c>
      <c r="K16" s="229" t="str">
        <f ca="1">'Material+Limits'!M76</f>
        <v/>
      </c>
      <c r="L16" s="229"/>
      <c r="M16" s="229" t="str">
        <f ca="1">'Material+Limits'!N76</f>
        <v/>
      </c>
      <c r="N16" s="229" t="str">
        <f ca="1">'Material+Limits'!O76</f>
        <v/>
      </c>
      <c r="O16" s="229" t="str">
        <f ca="1">IF('Material+Limits'!P76&lt;&gt;0,'Material+Limits'!P76,"")</f>
        <v/>
      </c>
      <c r="P16" s="229" t="str">
        <f ca="1">IF('Material+Limits'!Q76&lt;&gt;0,'Material+Limits'!Q76,"")</f>
        <v/>
      </c>
    </row>
    <row r="17" spans="2:16" x14ac:dyDescent="0.25">
      <c r="B17" s="229" t="str">
        <f ca="1">'Material+Limits'!B77</f>
        <v/>
      </c>
      <c r="C17" s="229" t="str">
        <f ca="1">'Material+Limits'!D77</f>
        <v/>
      </c>
      <c r="D17" s="229" t="str">
        <f ca="1">'Material+Limits'!E77</f>
        <v/>
      </c>
      <c r="E17" s="229" t="str">
        <f ca="1">'Material+Limits'!F77</f>
        <v/>
      </c>
      <c r="F17" s="229" t="str">
        <f ca="1">'Material+Limits'!H77</f>
        <v/>
      </c>
      <c r="G17" s="229" t="str">
        <f ca="1">'Material+Limits'!J77</f>
        <v/>
      </c>
      <c r="H17" s="229" t="str">
        <f ca="1">'Material+Limits'!K77</f>
        <v/>
      </c>
      <c r="I17" s="229"/>
      <c r="J17" s="229" t="str">
        <f ca="1">'Material+Limits'!L77</f>
        <v/>
      </c>
      <c r="K17" s="229" t="str">
        <f ca="1">'Material+Limits'!M77</f>
        <v/>
      </c>
      <c r="L17" s="229"/>
      <c r="M17" s="229" t="str">
        <f ca="1">'Material+Limits'!N77</f>
        <v/>
      </c>
      <c r="N17" s="229" t="str">
        <f ca="1">'Material+Limits'!O77</f>
        <v/>
      </c>
      <c r="O17" s="229" t="str">
        <f ca="1">IF('Material+Limits'!P77&lt;&gt;0,'Material+Limits'!P77,"")</f>
        <v/>
      </c>
      <c r="P17" s="229" t="str">
        <f ca="1">IF('Material+Limits'!Q77&lt;&gt;0,'Material+Limits'!Q77,"")</f>
        <v/>
      </c>
    </row>
    <row r="18" spans="2:16" x14ac:dyDescent="0.25">
      <c r="B18" s="229" t="str">
        <f ca="1">'Material+Limits'!B78</f>
        <v/>
      </c>
      <c r="C18" s="229" t="str">
        <f ca="1">'Material+Limits'!D78</f>
        <v/>
      </c>
      <c r="D18" s="229" t="str">
        <f ca="1">'Material+Limits'!E78</f>
        <v/>
      </c>
      <c r="E18" s="229" t="str">
        <f ca="1">'Material+Limits'!F78</f>
        <v/>
      </c>
      <c r="F18" s="229" t="str">
        <f ca="1">'Material+Limits'!H78</f>
        <v/>
      </c>
      <c r="G18" s="229" t="str">
        <f ca="1">'Material+Limits'!J78</f>
        <v/>
      </c>
      <c r="H18" s="229" t="str">
        <f ca="1">'Material+Limits'!K78</f>
        <v/>
      </c>
      <c r="I18" s="229"/>
      <c r="J18" s="229" t="str">
        <f ca="1">'Material+Limits'!L78</f>
        <v/>
      </c>
      <c r="K18" s="229" t="str">
        <f ca="1">'Material+Limits'!M78</f>
        <v/>
      </c>
      <c r="L18" s="229"/>
      <c r="M18" s="229" t="str">
        <f ca="1">'Material+Limits'!N78</f>
        <v/>
      </c>
      <c r="N18" s="229" t="str">
        <f ca="1">'Material+Limits'!O78</f>
        <v/>
      </c>
      <c r="O18" s="229" t="str">
        <f ca="1">IF('Material+Limits'!P78&lt;&gt;0,'Material+Limits'!P78,"")</f>
        <v/>
      </c>
      <c r="P18" s="229" t="str">
        <f ca="1">IF('Material+Limits'!Q78&lt;&gt;0,'Material+Limits'!Q78,"")</f>
        <v/>
      </c>
    </row>
    <row r="19" spans="2:16" x14ac:dyDescent="0.25">
      <c r="B19" s="229" t="str">
        <f ca="1">'Material+Limits'!B79</f>
        <v/>
      </c>
      <c r="C19" s="229" t="str">
        <f ca="1">'Material+Limits'!D79</f>
        <v/>
      </c>
      <c r="D19" s="229" t="str">
        <f ca="1">'Material+Limits'!E79</f>
        <v/>
      </c>
      <c r="E19" s="229" t="str">
        <f ca="1">'Material+Limits'!F79</f>
        <v/>
      </c>
      <c r="F19" s="229" t="str">
        <f ca="1">'Material+Limits'!H79</f>
        <v/>
      </c>
      <c r="G19" s="229" t="str">
        <f ca="1">'Material+Limits'!J79</f>
        <v/>
      </c>
      <c r="H19" s="229" t="str">
        <f ca="1">'Material+Limits'!K79</f>
        <v/>
      </c>
      <c r="I19" s="229"/>
      <c r="J19" s="229" t="str">
        <f ca="1">'Material+Limits'!L79</f>
        <v/>
      </c>
      <c r="K19" s="229" t="str">
        <f ca="1">'Material+Limits'!M79</f>
        <v/>
      </c>
      <c r="L19" s="229"/>
      <c r="M19" s="229" t="str">
        <f ca="1">'Material+Limits'!N79</f>
        <v/>
      </c>
      <c r="N19" s="229" t="str">
        <f ca="1">'Material+Limits'!O79</f>
        <v/>
      </c>
      <c r="O19" s="229" t="str">
        <f ca="1">IF('Material+Limits'!P79&lt;&gt;0,'Material+Limits'!P79,"")</f>
        <v/>
      </c>
      <c r="P19" s="229" t="str">
        <f ca="1">IF('Material+Limits'!Q79&lt;&gt;0,'Material+Limits'!Q79,"")</f>
        <v/>
      </c>
    </row>
    <row r="20" spans="2:16" x14ac:dyDescent="0.25">
      <c r="B20" s="229" t="str">
        <f ca="1">'Material+Limits'!B80</f>
        <v/>
      </c>
      <c r="C20" s="229" t="str">
        <f ca="1">'Material+Limits'!D80</f>
        <v/>
      </c>
      <c r="D20" s="229" t="str">
        <f ca="1">'Material+Limits'!E80</f>
        <v/>
      </c>
      <c r="E20" s="229" t="str">
        <f ca="1">'Material+Limits'!F80</f>
        <v/>
      </c>
      <c r="F20" s="229" t="str">
        <f ca="1">'Material+Limits'!H80</f>
        <v/>
      </c>
      <c r="G20" s="229" t="str">
        <f ca="1">'Material+Limits'!J80</f>
        <v/>
      </c>
      <c r="H20" s="229" t="str">
        <f ca="1">'Material+Limits'!K80</f>
        <v/>
      </c>
      <c r="I20" s="229"/>
      <c r="J20" s="229" t="str">
        <f ca="1">'Material+Limits'!L80</f>
        <v/>
      </c>
      <c r="K20" s="229" t="str">
        <f ca="1">'Material+Limits'!M80</f>
        <v/>
      </c>
      <c r="L20" s="229"/>
      <c r="M20" s="229" t="str">
        <f ca="1">'Material+Limits'!N80</f>
        <v/>
      </c>
      <c r="N20" s="229" t="str">
        <f ca="1">'Material+Limits'!O80</f>
        <v/>
      </c>
      <c r="O20" s="229" t="str">
        <f ca="1">IF('Material+Limits'!P80&lt;&gt;0,'Material+Limits'!P80,"")</f>
        <v/>
      </c>
      <c r="P20" s="229" t="str">
        <f ca="1">IF('Material+Limits'!Q80&lt;&gt;0,'Material+Limits'!Q80,"")</f>
        <v/>
      </c>
    </row>
    <row r="21" spans="2:16" x14ac:dyDescent="0.25">
      <c r="B21" s="229" t="str">
        <f ca="1">'Material+Limits'!B81</f>
        <v/>
      </c>
      <c r="C21" s="229" t="str">
        <f ca="1">'Material+Limits'!D81</f>
        <v/>
      </c>
      <c r="D21" s="229" t="str">
        <f ca="1">'Material+Limits'!E81</f>
        <v/>
      </c>
      <c r="E21" s="229" t="str">
        <f ca="1">'Material+Limits'!F81</f>
        <v/>
      </c>
      <c r="F21" s="229" t="str">
        <f ca="1">'Material+Limits'!H81</f>
        <v/>
      </c>
      <c r="G21" s="229" t="str">
        <f ca="1">'Material+Limits'!J81</f>
        <v/>
      </c>
      <c r="H21" s="229" t="str">
        <f ca="1">'Material+Limits'!K81</f>
        <v/>
      </c>
      <c r="I21" s="229"/>
      <c r="J21" s="229" t="str">
        <f ca="1">'Material+Limits'!L81</f>
        <v/>
      </c>
      <c r="K21" s="229" t="str">
        <f ca="1">'Material+Limits'!M81</f>
        <v/>
      </c>
      <c r="L21" s="229"/>
      <c r="M21" s="229" t="str">
        <f ca="1">'Material+Limits'!N81</f>
        <v/>
      </c>
      <c r="N21" s="229" t="str">
        <f ca="1">'Material+Limits'!O81</f>
        <v/>
      </c>
      <c r="O21" s="229" t="str">
        <f ca="1">IF('Material+Limits'!P81&lt;&gt;0,'Material+Limits'!P81,"")</f>
        <v/>
      </c>
      <c r="P21" s="229" t="str">
        <f ca="1">IF('Material+Limits'!Q81&lt;&gt;0,'Material+Limits'!Q81,"")</f>
        <v/>
      </c>
    </row>
    <row r="22" spans="2:16" x14ac:dyDescent="0.25">
      <c r="B22" s="229" t="str">
        <f ca="1">'Material+Limits'!B82</f>
        <v/>
      </c>
      <c r="C22" s="229" t="str">
        <f ca="1">'Material+Limits'!D82</f>
        <v/>
      </c>
      <c r="D22" s="229" t="str">
        <f ca="1">'Material+Limits'!E82</f>
        <v/>
      </c>
      <c r="E22" s="229" t="str">
        <f ca="1">'Material+Limits'!F82</f>
        <v/>
      </c>
      <c r="F22" s="229" t="str">
        <f ca="1">'Material+Limits'!H82</f>
        <v/>
      </c>
      <c r="G22" s="229" t="str">
        <f ca="1">'Material+Limits'!J82</f>
        <v/>
      </c>
      <c r="H22" s="229" t="str">
        <f ca="1">'Material+Limits'!K82</f>
        <v/>
      </c>
      <c r="I22" s="229"/>
      <c r="J22" s="229" t="str">
        <f ca="1">'Material+Limits'!L82</f>
        <v/>
      </c>
      <c r="K22" s="229" t="str">
        <f ca="1">'Material+Limits'!M82</f>
        <v/>
      </c>
      <c r="L22" s="229"/>
      <c r="M22" s="229" t="str">
        <f ca="1">'Material+Limits'!N82</f>
        <v/>
      </c>
      <c r="N22" s="229" t="str">
        <f ca="1">'Material+Limits'!O82</f>
        <v/>
      </c>
      <c r="O22" s="229" t="str">
        <f ca="1">IF('Material+Limits'!P82&lt;&gt;0,'Material+Limits'!P82,"")</f>
        <v/>
      </c>
      <c r="P22" s="229" t="str">
        <f ca="1">IF('Material+Limits'!Q82&lt;&gt;0,'Material+Limits'!Q82,"")</f>
        <v/>
      </c>
    </row>
    <row r="23" spans="2:16" x14ac:dyDescent="0.25">
      <c r="B23" s="229" t="str">
        <f ca="1">'Material+Limits'!B83</f>
        <v/>
      </c>
      <c r="C23" s="229" t="str">
        <f ca="1">'Material+Limits'!D83</f>
        <v/>
      </c>
      <c r="D23" s="229" t="str">
        <f ca="1">'Material+Limits'!E83</f>
        <v/>
      </c>
      <c r="E23" s="229" t="str">
        <f ca="1">'Material+Limits'!F83</f>
        <v/>
      </c>
      <c r="F23" s="229" t="str">
        <f ca="1">'Material+Limits'!H83</f>
        <v/>
      </c>
      <c r="G23" s="229" t="str">
        <f ca="1">'Material+Limits'!J83</f>
        <v/>
      </c>
      <c r="H23" s="229" t="str">
        <f ca="1">'Material+Limits'!K83</f>
        <v/>
      </c>
      <c r="I23" s="229"/>
      <c r="J23" s="229" t="str">
        <f ca="1">'Material+Limits'!L83</f>
        <v/>
      </c>
      <c r="K23" s="229" t="str">
        <f ca="1">'Material+Limits'!M83</f>
        <v/>
      </c>
      <c r="L23" s="229"/>
      <c r="M23" s="229" t="str">
        <f ca="1">'Material+Limits'!N83</f>
        <v/>
      </c>
      <c r="N23" s="229" t="str">
        <f ca="1">'Material+Limits'!O83</f>
        <v/>
      </c>
      <c r="O23" s="229" t="str">
        <f ca="1">IF('Material+Limits'!P83&lt;&gt;0,'Material+Limits'!P83,"")</f>
        <v/>
      </c>
      <c r="P23" s="229" t="str">
        <f ca="1">IF('Material+Limits'!Q83&lt;&gt;0,'Material+Limits'!Q83,"")</f>
        <v/>
      </c>
    </row>
    <row r="24" spans="2:16" x14ac:dyDescent="0.25">
      <c r="B24" s="229" t="str">
        <f ca="1">'Material+Limits'!B84</f>
        <v/>
      </c>
      <c r="C24" s="229" t="str">
        <f ca="1">'Material+Limits'!D84</f>
        <v/>
      </c>
      <c r="D24" s="229" t="str">
        <f ca="1">'Material+Limits'!E84</f>
        <v/>
      </c>
      <c r="E24" s="229" t="str">
        <f ca="1">'Material+Limits'!F84</f>
        <v/>
      </c>
      <c r="F24" s="229" t="str">
        <f ca="1">'Material+Limits'!H84</f>
        <v/>
      </c>
      <c r="G24" s="229" t="str">
        <f ca="1">'Material+Limits'!J84</f>
        <v/>
      </c>
      <c r="H24" s="229" t="str">
        <f ca="1">'Material+Limits'!K84</f>
        <v/>
      </c>
      <c r="I24" s="229"/>
      <c r="J24" s="229" t="str">
        <f ca="1">'Material+Limits'!L84</f>
        <v/>
      </c>
      <c r="K24" s="229" t="str">
        <f ca="1">'Material+Limits'!M84</f>
        <v/>
      </c>
      <c r="L24" s="229"/>
      <c r="M24" s="229" t="str">
        <f ca="1">'Material+Limits'!N84</f>
        <v/>
      </c>
      <c r="N24" s="229" t="str">
        <f ca="1">'Material+Limits'!O84</f>
        <v/>
      </c>
      <c r="O24" s="229" t="str">
        <f ca="1">IF('Material+Limits'!P84&lt;&gt;0,'Material+Limits'!P84,"")</f>
        <v/>
      </c>
      <c r="P24" s="229" t="str">
        <f ca="1">IF('Material+Limits'!Q84&lt;&gt;0,'Material+Limits'!Q84,"")</f>
        <v/>
      </c>
    </row>
    <row r="25" spans="2:16" x14ac:dyDescent="0.25">
      <c r="B25" s="229" t="str">
        <f ca="1">'Material+Limits'!B85</f>
        <v/>
      </c>
      <c r="C25" s="229" t="str">
        <f ca="1">'Material+Limits'!D85</f>
        <v/>
      </c>
      <c r="D25" s="229" t="str">
        <f ca="1">'Material+Limits'!E85</f>
        <v/>
      </c>
      <c r="E25" s="229" t="str">
        <f ca="1">'Material+Limits'!F85</f>
        <v/>
      </c>
      <c r="F25" s="229" t="str">
        <f ca="1">'Material+Limits'!H85</f>
        <v/>
      </c>
      <c r="G25" s="229" t="str">
        <f ca="1">'Material+Limits'!J85</f>
        <v/>
      </c>
      <c r="H25" s="229" t="str">
        <f ca="1">'Material+Limits'!K85</f>
        <v/>
      </c>
      <c r="I25" s="229"/>
      <c r="J25" s="229" t="str">
        <f ca="1">'Material+Limits'!L85</f>
        <v/>
      </c>
      <c r="K25" s="229" t="str">
        <f ca="1">'Material+Limits'!M85</f>
        <v/>
      </c>
      <c r="L25" s="229"/>
      <c r="M25" s="229" t="str">
        <f ca="1">'Material+Limits'!N85</f>
        <v/>
      </c>
      <c r="N25" s="229" t="str">
        <f ca="1">'Material+Limits'!O85</f>
        <v/>
      </c>
      <c r="O25" s="229" t="str">
        <f ca="1">IF('Material+Limits'!P85&lt;&gt;0,'Material+Limits'!P85,"")</f>
        <v/>
      </c>
      <c r="P25" s="229" t="str">
        <f ca="1">IF('Material+Limits'!Q85&lt;&gt;0,'Material+Limits'!Q85,"")</f>
        <v/>
      </c>
    </row>
    <row r="26" spans="2:16" x14ac:dyDescent="0.25">
      <c r="B26" s="229" t="str">
        <f ca="1">'Material+Limits'!B86</f>
        <v/>
      </c>
      <c r="C26" s="229" t="str">
        <f ca="1">'Material+Limits'!D86</f>
        <v/>
      </c>
      <c r="D26" s="229" t="str">
        <f ca="1">'Material+Limits'!E86</f>
        <v/>
      </c>
      <c r="E26" s="229" t="str">
        <f ca="1">'Material+Limits'!F86</f>
        <v/>
      </c>
      <c r="F26" s="229" t="str">
        <f ca="1">'Material+Limits'!H86</f>
        <v/>
      </c>
      <c r="G26" s="229" t="str">
        <f ca="1">'Material+Limits'!J86</f>
        <v/>
      </c>
      <c r="H26" s="229" t="str">
        <f ca="1">'Material+Limits'!K86</f>
        <v/>
      </c>
      <c r="I26" s="229"/>
      <c r="J26" s="229" t="str">
        <f ca="1">'Material+Limits'!L86</f>
        <v/>
      </c>
      <c r="K26" s="229" t="str">
        <f ca="1">'Material+Limits'!M86</f>
        <v/>
      </c>
      <c r="L26" s="229"/>
      <c r="M26" s="229" t="str">
        <f ca="1">'Material+Limits'!N86</f>
        <v/>
      </c>
      <c r="N26" s="229" t="str">
        <f ca="1">'Material+Limits'!O86</f>
        <v/>
      </c>
      <c r="O26" s="229" t="str">
        <f ca="1">IF('Material+Limits'!P86&lt;&gt;0,'Material+Limits'!P86,"")</f>
        <v/>
      </c>
      <c r="P26" s="229" t="str">
        <f ca="1">IF('Material+Limits'!Q86&lt;&gt;0,'Material+Limits'!Q86,"")</f>
        <v/>
      </c>
    </row>
    <row r="27" spans="2:16" x14ac:dyDescent="0.25">
      <c r="B27" s="229" t="str">
        <f ca="1">'Material+Limits'!B87</f>
        <v/>
      </c>
      <c r="C27" s="229" t="str">
        <f ca="1">'Material+Limits'!D87</f>
        <v/>
      </c>
      <c r="D27" s="229" t="str">
        <f ca="1">'Material+Limits'!E87</f>
        <v/>
      </c>
      <c r="E27" s="229" t="str">
        <f ca="1">'Material+Limits'!F87</f>
        <v/>
      </c>
      <c r="F27" s="229" t="str">
        <f ca="1">'Material+Limits'!H87</f>
        <v/>
      </c>
      <c r="G27" s="229" t="str">
        <f ca="1">'Material+Limits'!J87</f>
        <v/>
      </c>
      <c r="H27" s="229" t="str">
        <f ca="1">'Material+Limits'!K87</f>
        <v/>
      </c>
      <c r="I27" s="229"/>
      <c r="J27" s="229" t="str">
        <f ca="1">'Material+Limits'!L87</f>
        <v/>
      </c>
      <c r="K27" s="229" t="str">
        <f ca="1">'Material+Limits'!M87</f>
        <v/>
      </c>
      <c r="L27" s="229"/>
      <c r="M27" s="229" t="str">
        <f ca="1">'Material+Limits'!N87</f>
        <v/>
      </c>
      <c r="N27" s="229" t="str">
        <f ca="1">'Material+Limits'!O87</f>
        <v/>
      </c>
      <c r="O27" s="229" t="str">
        <f ca="1">IF('Material+Limits'!P87&lt;&gt;0,'Material+Limits'!P87,"")</f>
        <v/>
      </c>
      <c r="P27" s="229" t="str">
        <f ca="1">IF('Material+Limits'!Q87&lt;&gt;0,'Material+Limits'!Q87,"")</f>
        <v/>
      </c>
    </row>
    <row r="28" spans="2:16" x14ac:dyDescent="0.25">
      <c r="B28" s="229" t="str">
        <f ca="1">'Material+Limits'!B88</f>
        <v/>
      </c>
      <c r="C28" s="229" t="str">
        <f ca="1">'Material+Limits'!D88</f>
        <v/>
      </c>
      <c r="D28" s="229" t="str">
        <f ca="1">'Material+Limits'!E88</f>
        <v/>
      </c>
      <c r="E28" s="229" t="str">
        <f ca="1">'Material+Limits'!F88</f>
        <v/>
      </c>
      <c r="F28" s="229" t="str">
        <f ca="1">'Material+Limits'!H88</f>
        <v/>
      </c>
      <c r="G28" s="229" t="str">
        <f ca="1">'Material+Limits'!J88</f>
        <v/>
      </c>
      <c r="H28" s="229" t="str">
        <f ca="1">'Material+Limits'!K88</f>
        <v/>
      </c>
      <c r="I28" s="229"/>
      <c r="J28" s="229" t="str">
        <f ca="1">'Material+Limits'!L88</f>
        <v/>
      </c>
      <c r="K28" s="229" t="str">
        <f ca="1">'Material+Limits'!M88</f>
        <v/>
      </c>
      <c r="L28" s="229"/>
      <c r="M28" s="229" t="str">
        <f ca="1">'Material+Limits'!N88</f>
        <v/>
      </c>
      <c r="N28" s="229" t="str">
        <f ca="1">'Material+Limits'!O88</f>
        <v/>
      </c>
      <c r="O28" s="229" t="str">
        <f ca="1">IF('Material+Limits'!P88&lt;&gt;0,'Material+Limits'!P88,"")</f>
        <v/>
      </c>
      <c r="P28" s="229" t="str">
        <f ca="1">IF('Material+Limits'!Q88&lt;&gt;0,'Material+Limits'!Q88,"")</f>
        <v/>
      </c>
    </row>
    <row r="29" spans="2:16" x14ac:dyDescent="0.25">
      <c r="B29" s="229" t="str">
        <f ca="1">'Material+Limits'!B89</f>
        <v/>
      </c>
      <c r="C29" s="229" t="str">
        <f ca="1">'Material+Limits'!D89</f>
        <v/>
      </c>
      <c r="D29" s="229" t="str">
        <f ca="1">'Material+Limits'!E89</f>
        <v/>
      </c>
      <c r="E29" s="229" t="str">
        <f ca="1">'Material+Limits'!F89</f>
        <v/>
      </c>
      <c r="F29" s="229" t="str">
        <f ca="1">'Material+Limits'!H89</f>
        <v/>
      </c>
      <c r="G29" s="229" t="str">
        <f ca="1">'Material+Limits'!J89</f>
        <v/>
      </c>
      <c r="H29" s="229" t="str">
        <f ca="1">'Material+Limits'!K89</f>
        <v/>
      </c>
      <c r="I29" s="229"/>
      <c r="J29" s="229" t="str">
        <f ca="1">'Material+Limits'!L89</f>
        <v/>
      </c>
      <c r="K29" s="229" t="str">
        <f ca="1">'Material+Limits'!M89</f>
        <v/>
      </c>
      <c r="L29" s="229"/>
      <c r="M29" s="229" t="str">
        <f ca="1">'Material+Limits'!N89</f>
        <v/>
      </c>
      <c r="N29" s="229" t="str">
        <f ca="1">'Material+Limits'!O89</f>
        <v/>
      </c>
      <c r="O29" s="229" t="str">
        <f ca="1">IF('Material+Limits'!P89&lt;&gt;0,'Material+Limits'!P89,"")</f>
        <v/>
      </c>
      <c r="P29" s="229" t="str">
        <f ca="1">IF('Material+Limits'!Q89&lt;&gt;0,'Material+Limits'!Q89,"")</f>
        <v/>
      </c>
    </row>
    <row r="30" spans="2:16" x14ac:dyDescent="0.25">
      <c r="B30" s="229" t="str">
        <f ca="1">'Material+Limits'!B90</f>
        <v/>
      </c>
      <c r="C30" s="229" t="str">
        <f ca="1">'Material+Limits'!D90</f>
        <v/>
      </c>
      <c r="D30" s="229" t="str">
        <f ca="1">'Material+Limits'!E90</f>
        <v/>
      </c>
      <c r="E30" s="229" t="str">
        <f ca="1">'Material+Limits'!F90</f>
        <v/>
      </c>
      <c r="F30" s="229" t="str">
        <f ca="1">'Material+Limits'!H90</f>
        <v/>
      </c>
      <c r="G30" s="229" t="str">
        <f ca="1">'Material+Limits'!J90</f>
        <v/>
      </c>
      <c r="H30" s="229" t="str">
        <f ca="1">'Material+Limits'!K90</f>
        <v/>
      </c>
      <c r="I30" s="229"/>
      <c r="J30" s="229" t="str">
        <f ca="1">'Material+Limits'!L90</f>
        <v/>
      </c>
      <c r="K30" s="229" t="str">
        <f ca="1">'Material+Limits'!M90</f>
        <v/>
      </c>
      <c r="L30" s="229"/>
      <c r="M30" s="229" t="str">
        <f ca="1">'Material+Limits'!N90</f>
        <v/>
      </c>
      <c r="N30" s="229" t="str">
        <f ca="1">'Material+Limits'!O90</f>
        <v/>
      </c>
      <c r="O30" s="229" t="str">
        <f ca="1">IF('Material+Limits'!P90&lt;&gt;0,'Material+Limits'!P90,"")</f>
        <v/>
      </c>
      <c r="P30" s="229" t="str">
        <f ca="1">IF('Material+Limits'!Q90&lt;&gt;0,'Material+Limits'!Q90,"")</f>
        <v/>
      </c>
    </row>
    <row r="31" spans="2:16" x14ac:dyDescent="0.25">
      <c r="B31" s="229" t="str">
        <f ca="1">'Material+Limits'!B91</f>
        <v/>
      </c>
      <c r="C31" s="229" t="str">
        <f ca="1">'Material+Limits'!D91</f>
        <v/>
      </c>
      <c r="D31" s="229" t="str">
        <f ca="1">'Material+Limits'!E91</f>
        <v/>
      </c>
      <c r="E31" s="229" t="str">
        <f ca="1">'Material+Limits'!F91</f>
        <v/>
      </c>
      <c r="F31" s="229" t="str">
        <f ca="1">'Material+Limits'!H91</f>
        <v/>
      </c>
      <c r="G31" s="229" t="str">
        <f ca="1">'Material+Limits'!J91</f>
        <v/>
      </c>
      <c r="H31" s="229" t="str">
        <f ca="1">'Material+Limits'!K91</f>
        <v/>
      </c>
      <c r="I31" s="229"/>
      <c r="J31" s="229" t="str">
        <f ca="1">'Material+Limits'!L91</f>
        <v/>
      </c>
      <c r="K31" s="229" t="str">
        <f ca="1">'Material+Limits'!M91</f>
        <v/>
      </c>
      <c r="L31" s="229"/>
      <c r="M31" s="229" t="str">
        <f ca="1">'Material+Limits'!N91</f>
        <v/>
      </c>
      <c r="N31" s="229" t="str">
        <f ca="1">'Material+Limits'!O91</f>
        <v/>
      </c>
      <c r="O31" s="229" t="str">
        <f ca="1">IF('Material+Limits'!P91&lt;&gt;0,'Material+Limits'!P91,"")</f>
        <v/>
      </c>
      <c r="P31" s="229" t="str">
        <f ca="1">IF('Material+Limits'!Q91&lt;&gt;0,'Material+Limits'!Q91,"")</f>
        <v/>
      </c>
    </row>
    <row r="32" spans="2:16" x14ac:dyDescent="0.25">
      <c r="B32" s="229" t="str">
        <f ca="1">'Material+Limits'!B92</f>
        <v/>
      </c>
      <c r="C32" s="229" t="str">
        <f ca="1">'Material+Limits'!D92</f>
        <v/>
      </c>
      <c r="D32" s="229" t="str">
        <f ca="1">'Material+Limits'!E92</f>
        <v/>
      </c>
      <c r="E32" s="229" t="str">
        <f ca="1">'Material+Limits'!F92</f>
        <v/>
      </c>
      <c r="F32" s="229" t="str">
        <f ca="1">'Material+Limits'!H92</f>
        <v/>
      </c>
      <c r="G32" s="229" t="str">
        <f ca="1">'Material+Limits'!J92</f>
        <v/>
      </c>
      <c r="H32" s="229" t="str">
        <f ca="1">'Material+Limits'!K92</f>
        <v/>
      </c>
      <c r="I32" s="229"/>
      <c r="J32" s="229" t="str">
        <f ca="1">'Material+Limits'!L92</f>
        <v/>
      </c>
      <c r="K32" s="229" t="str">
        <f ca="1">'Material+Limits'!M92</f>
        <v/>
      </c>
      <c r="L32" s="229"/>
      <c r="M32" s="229" t="str">
        <f ca="1">'Material+Limits'!N92</f>
        <v/>
      </c>
      <c r="N32" s="229" t="str">
        <f ca="1">'Material+Limits'!O92</f>
        <v/>
      </c>
      <c r="O32" s="229" t="str">
        <f ca="1">IF('Material+Limits'!P92&lt;&gt;0,'Material+Limits'!P92,"")</f>
        <v/>
      </c>
      <c r="P32" s="229" t="str">
        <f ca="1">IF('Material+Limits'!Q92&lt;&gt;0,'Material+Limits'!Q92,"")</f>
        <v/>
      </c>
    </row>
    <row r="33" spans="2:16" x14ac:dyDescent="0.25">
      <c r="B33" s="229" t="str">
        <f ca="1">'Material+Limits'!B93</f>
        <v/>
      </c>
      <c r="C33" s="229" t="str">
        <f ca="1">'Material+Limits'!D93</f>
        <v/>
      </c>
      <c r="D33" s="229" t="str">
        <f ca="1">'Material+Limits'!E93</f>
        <v/>
      </c>
      <c r="E33" s="229" t="str">
        <f ca="1">'Material+Limits'!F93</f>
        <v/>
      </c>
      <c r="F33" s="229" t="str">
        <f ca="1">'Material+Limits'!H93</f>
        <v/>
      </c>
      <c r="G33" s="229" t="str">
        <f ca="1">'Material+Limits'!J93</f>
        <v/>
      </c>
      <c r="H33" s="229" t="str">
        <f ca="1">'Material+Limits'!K93</f>
        <v/>
      </c>
      <c r="I33" s="229"/>
      <c r="J33" s="229" t="str">
        <f ca="1">'Material+Limits'!L93</f>
        <v/>
      </c>
      <c r="K33" s="229" t="str">
        <f ca="1">'Material+Limits'!M93</f>
        <v/>
      </c>
      <c r="L33" s="229"/>
      <c r="M33" s="229" t="str">
        <f ca="1">'Material+Limits'!N93</f>
        <v/>
      </c>
      <c r="N33" s="229" t="str">
        <f ca="1">'Material+Limits'!O93</f>
        <v/>
      </c>
      <c r="O33" s="229" t="str">
        <f ca="1">IF('Material+Limits'!P93&lt;&gt;0,'Material+Limits'!P93,"")</f>
        <v/>
      </c>
      <c r="P33" s="229" t="str">
        <f ca="1">IF('Material+Limits'!Q93&lt;&gt;0,'Material+Limits'!Q93,"")</f>
        <v/>
      </c>
    </row>
    <row r="34" spans="2:16" x14ac:dyDescent="0.25">
      <c r="B34" s="229" t="str">
        <f ca="1">'Material+Limits'!B94</f>
        <v/>
      </c>
      <c r="C34" s="229" t="str">
        <f ca="1">'Material+Limits'!D94</f>
        <v/>
      </c>
      <c r="D34" s="229" t="str">
        <f ca="1">'Material+Limits'!E94</f>
        <v/>
      </c>
      <c r="E34" s="229" t="str">
        <f ca="1">'Material+Limits'!F94</f>
        <v/>
      </c>
      <c r="F34" s="229" t="str">
        <f ca="1">'Material+Limits'!H94</f>
        <v/>
      </c>
      <c r="G34" s="229" t="str">
        <f ca="1">'Material+Limits'!J94</f>
        <v/>
      </c>
      <c r="H34" s="229" t="str">
        <f ca="1">'Material+Limits'!K94</f>
        <v/>
      </c>
      <c r="I34" s="229"/>
      <c r="J34" s="229" t="str">
        <f ca="1">'Material+Limits'!L94</f>
        <v/>
      </c>
      <c r="K34" s="229" t="str">
        <f ca="1">'Material+Limits'!M94</f>
        <v/>
      </c>
      <c r="L34" s="229"/>
      <c r="M34" s="229" t="str">
        <f ca="1">'Material+Limits'!N94</f>
        <v/>
      </c>
      <c r="N34" s="229" t="str">
        <f ca="1">'Material+Limits'!O94</f>
        <v/>
      </c>
      <c r="O34" s="229" t="str">
        <f ca="1">IF('Material+Limits'!P94&lt;&gt;0,'Material+Limits'!P94,"")</f>
        <v/>
      </c>
      <c r="P34" s="229" t="str">
        <f ca="1">IF('Material+Limits'!Q94&lt;&gt;0,'Material+Limits'!Q94,"")</f>
        <v/>
      </c>
    </row>
    <row r="35" spans="2:16" x14ac:dyDescent="0.25">
      <c r="B35" s="229" t="str">
        <f ca="1">'Material+Limits'!B95</f>
        <v/>
      </c>
      <c r="C35" s="229" t="str">
        <f ca="1">'Material+Limits'!D95</f>
        <v/>
      </c>
      <c r="D35" s="229" t="str">
        <f ca="1">'Material+Limits'!E95</f>
        <v/>
      </c>
      <c r="E35" s="229" t="str">
        <f ca="1">'Material+Limits'!F95</f>
        <v/>
      </c>
      <c r="F35" s="229" t="str">
        <f ca="1">'Material+Limits'!H95</f>
        <v/>
      </c>
      <c r="G35" s="229" t="str">
        <f ca="1">'Material+Limits'!J95</f>
        <v/>
      </c>
      <c r="H35" s="229" t="str">
        <f ca="1">'Material+Limits'!K95</f>
        <v/>
      </c>
      <c r="I35" s="229"/>
      <c r="J35" s="229" t="str">
        <f ca="1">'Material+Limits'!L95</f>
        <v/>
      </c>
      <c r="K35" s="229" t="str">
        <f ca="1">'Material+Limits'!M95</f>
        <v/>
      </c>
      <c r="L35" s="229"/>
      <c r="M35" s="229" t="str">
        <f ca="1">'Material+Limits'!N95</f>
        <v/>
      </c>
      <c r="N35" s="229" t="str">
        <f ca="1">'Material+Limits'!O95</f>
        <v/>
      </c>
      <c r="O35" s="229" t="str">
        <f ca="1">IF('Material+Limits'!P95&lt;&gt;0,'Material+Limits'!P95,"")</f>
        <v/>
      </c>
      <c r="P35" s="229" t="str">
        <f ca="1">IF('Material+Limits'!Q95&lt;&gt;0,'Material+Limits'!Q95,"")</f>
        <v/>
      </c>
    </row>
    <row r="36" spans="2:16" x14ac:dyDescent="0.25">
      <c r="B36" s="229" t="str">
        <f ca="1">'Material+Limits'!B96</f>
        <v/>
      </c>
      <c r="C36" s="229" t="str">
        <f ca="1">'Material+Limits'!D96</f>
        <v/>
      </c>
      <c r="D36" s="229" t="str">
        <f ca="1">'Material+Limits'!E96</f>
        <v/>
      </c>
      <c r="E36" s="229" t="str">
        <f ca="1">'Material+Limits'!F96</f>
        <v/>
      </c>
      <c r="F36" s="229" t="str">
        <f ca="1">'Material+Limits'!H96</f>
        <v/>
      </c>
      <c r="G36" s="229" t="str">
        <f ca="1">'Material+Limits'!J96</f>
        <v/>
      </c>
      <c r="H36" s="229" t="str">
        <f ca="1">'Material+Limits'!K96</f>
        <v/>
      </c>
      <c r="I36" s="229"/>
      <c r="J36" s="229" t="str">
        <f ca="1">'Material+Limits'!L96</f>
        <v/>
      </c>
      <c r="K36" s="229" t="str">
        <f ca="1">'Material+Limits'!M96</f>
        <v/>
      </c>
      <c r="L36" s="229"/>
      <c r="M36" s="229" t="str">
        <f ca="1">'Material+Limits'!N96</f>
        <v/>
      </c>
      <c r="N36" s="229" t="str">
        <f ca="1">'Material+Limits'!O96</f>
        <v/>
      </c>
      <c r="O36" s="229" t="str">
        <f ca="1">IF('Material+Limits'!P96&lt;&gt;0,'Material+Limits'!P96,"")</f>
        <v/>
      </c>
      <c r="P36" s="229" t="str">
        <f ca="1">IF('Material+Limits'!Q96&lt;&gt;0,'Material+Limits'!Q96,"")</f>
        <v/>
      </c>
    </row>
    <row r="37" spans="2:16" x14ac:dyDescent="0.25">
      <c r="B37" s="229" t="str">
        <f ca="1">'Material+Limits'!B97</f>
        <v/>
      </c>
      <c r="C37" s="229" t="str">
        <f ca="1">'Material+Limits'!D97</f>
        <v/>
      </c>
      <c r="D37" s="229" t="str">
        <f ca="1">'Material+Limits'!E97</f>
        <v/>
      </c>
      <c r="E37" s="229" t="str">
        <f ca="1">'Material+Limits'!F97</f>
        <v/>
      </c>
      <c r="F37" s="229" t="str">
        <f ca="1">'Material+Limits'!H97</f>
        <v/>
      </c>
      <c r="G37" s="229" t="str">
        <f ca="1">'Material+Limits'!J97</f>
        <v/>
      </c>
      <c r="H37" s="229" t="str">
        <f ca="1">'Material+Limits'!K97</f>
        <v/>
      </c>
      <c r="I37" s="229"/>
      <c r="J37" s="229" t="str">
        <f ca="1">'Material+Limits'!L97</f>
        <v/>
      </c>
      <c r="K37" s="229" t="str">
        <f ca="1">'Material+Limits'!M97</f>
        <v/>
      </c>
      <c r="L37" s="229"/>
      <c r="M37" s="229" t="str">
        <f ca="1">'Material+Limits'!N97</f>
        <v/>
      </c>
      <c r="N37" s="229" t="str">
        <f ca="1">'Material+Limits'!O97</f>
        <v/>
      </c>
      <c r="O37" s="229" t="str">
        <f ca="1">IF('Material+Limits'!P97&lt;&gt;0,'Material+Limits'!P97,"")</f>
        <v/>
      </c>
      <c r="P37" s="229" t="str">
        <f ca="1">IF('Material+Limits'!Q97&lt;&gt;0,'Material+Limits'!Q97,"")</f>
        <v/>
      </c>
    </row>
    <row r="38" spans="2:16" x14ac:dyDescent="0.25">
      <c r="B38" s="229" t="str">
        <f ca="1">'Material+Limits'!B98</f>
        <v/>
      </c>
      <c r="C38" s="229" t="str">
        <f ca="1">'Material+Limits'!D98</f>
        <v/>
      </c>
      <c r="D38" s="229" t="str">
        <f ca="1">'Material+Limits'!E98</f>
        <v/>
      </c>
      <c r="E38" s="229" t="str">
        <f ca="1">'Material+Limits'!F98</f>
        <v/>
      </c>
      <c r="F38" s="229" t="str">
        <f ca="1">'Material+Limits'!H98</f>
        <v/>
      </c>
      <c r="G38" s="229" t="str">
        <f ca="1">'Material+Limits'!J98</f>
        <v/>
      </c>
      <c r="H38" s="229" t="str">
        <f ca="1">'Material+Limits'!K98</f>
        <v/>
      </c>
      <c r="I38" s="229"/>
      <c r="J38" s="229" t="str">
        <f ca="1">'Material+Limits'!L98</f>
        <v/>
      </c>
      <c r="K38" s="229" t="str">
        <f ca="1">'Material+Limits'!M98</f>
        <v/>
      </c>
      <c r="L38" s="229"/>
      <c r="M38" s="229" t="str">
        <f ca="1">'Material+Limits'!N98</f>
        <v/>
      </c>
      <c r="N38" s="229" t="str">
        <f ca="1">'Material+Limits'!O98</f>
        <v/>
      </c>
      <c r="O38" s="229" t="str">
        <f ca="1">IF('Material+Limits'!P98&lt;&gt;0,'Material+Limits'!P98,"")</f>
        <v/>
      </c>
      <c r="P38" s="229" t="str">
        <f ca="1">IF('Material+Limits'!Q98&lt;&gt;0,'Material+Limits'!Q98,"")</f>
        <v/>
      </c>
    </row>
    <row r="39" spans="2:16" x14ac:dyDescent="0.25">
      <c r="B39" s="229" t="str">
        <f ca="1">'Material+Limits'!B99</f>
        <v/>
      </c>
      <c r="C39" s="229" t="str">
        <f ca="1">'Material+Limits'!D99</f>
        <v/>
      </c>
      <c r="D39" s="229" t="str">
        <f ca="1">'Material+Limits'!E99</f>
        <v/>
      </c>
      <c r="E39" s="229" t="str">
        <f ca="1">'Material+Limits'!F99</f>
        <v/>
      </c>
      <c r="F39" s="229" t="str">
        <f ca="1">'Material+Limits'!H99</f>
        <v/>
      </c>
      <c r="G39" s="229" t="str">
        <f ca="1">'Material+Limits'!J99</f>
        <v/>
      </c>
      <c r="H39" s="229" t="str">
        <f ca="1">'Material+Limits'!K99</f>
        <v/>
      </c>
      <c r="I39" s="229"/>
      <c r="J39" s="229" t="str">
        <f ca="1">'Material+Limits'!L99</f>
        <v/>
      </c>
      <c r="K39" s="229" t="str">
        <f ca="1">'Material+Limits'!M99</f>
        <v/>
      </c>
      <c r="L39" s="229"/>
      <c r="M39" s="229" t="str">
        <f ca="1">'Material+Limits'!N99</f>
        <v/>
      </c>
      <c r="N39" s="229" t="str">
        <f ca="1">'Material+Limits'!O99</f>
        <v/>
      </c>
      <c r="O39" s="229" t="str">
        <f ca="1">IF('Material+Limits'!P99&lt;&gt;0,'Material+Limits'!P99,"")</f>
        <v/>
      </c>
      <c r="P39" s="229" t="str">
        <f ca="1">IF('Material+Limits'!Q99&lt;&gt;0,'Material+Limits'!Q99,"")</f>
        <v/>
      </c>
    </row>
    <row r="40" spans="2:16" x14ac:dyDescent="0.25">
      <c r="B40" s="229" t="str">
        <f ca="1">'Material+Limits'!B100</f>
        <v/>
      </c>
      <c r="C40" s="229" t="str">
        <f ca="1">'Material+Limits'!D100</f>
        <v/>
      </c>
      <c r="D40" s="229" t="str">
        <f ca="1">'Material+Limits'!E100</f>
        <v/>
      </c>
      <c r="E40" s="229" t="str">
        <f ca="1">'Material+Limits'!F100</f>
        <v/>
      </c>
      <c r="F40" s="229" t="str">
        <f ca="1">'Material+Limits'!H100</f>
        <v/>
      </c>
      <c r="G40" s="229" t="str">
        <f ca="1">'Material+Limits'!J100</f>
        <v/>
      </c>
      <c r="H40" s="229" t="str">
        <f ca="1">'Material+Limits'!K100</f>
        <v/>
      </c>
      <c r="I40" s="229"/>
      <c r="J40" s="229" t="str">
        <f ca="1">'Material+Limits'!L100</f>
        <v/>
      </c>
      <c r="K40" s="229" t="str">
        <f ca="1">'Material+Limits'!M100</f>
        <v/>
      </c>
      <c r="L40" s="229"/>
      <c r="M40" s="229" t="str">
        <f ca="1">'Material+Limits'!N100</f>
        <v/>
      </c>
      <c r="N40" s="229" t="str">
        <f ca="1">'Material+Limits'!O100</f>
        <v/>
      </c>
      <c r="O40" s="229" t="str">
        <f ca="1">IF('Material+Limits'!P100&lt;&gt;0,'Material+Limits'!P100,"")</f>
        <v/>
      </c>
      <c r="P40" s="229" t="str">
        <f ca="1">IF('Material+Limits'!Q100&lt;&gt;0,'Material+Limits'!Q100,"")</f>
        <v/>
      </c>
    </row>
    <row r="41" spans="2:16" x14ac:dyDescent="0.25">
      <c r="B41" s="229" t="str">
        <f ca="1">'Material+Limits'!B101</f>
        <v/>
      </c>
      <c r="C41" s="229" t="str">
        <f ca="1">'Material+Limits'!D101</f>
        <v/>
      </c>
      <c r="D41" s="229" t="str">
        <f ca="1">'Material+Limits'!E101</f>
        <v/>
      </c>
      <c r="E41" s="229" t="str">
        <f ca="1">'Material+Limits'!F101</f>
        <v/>
      </c>
      <c r="F41" s="229" t="str">
        <f ca="1">'Material+Limits'!H101</f>
        <v/>
      </c>
      <c r="G41" s="229" t="str">
        <f ca="1">'Material+Limits'!J101</f>
        <v/>
      </c>
      <c r="H41" s="229" t="str">
        <f ca="1">'Material+Limits'!K101</f>
        <v/>
      </c>
      <c r="I41" s="229"/>
      <c r="J41" s="229" t="str">
        <f ca="1">'Material+Limits'!L101</f>
        <v/>
      </c>
      <c r="K41" s="229" t="str">
        <f ca="1">'Material+Limits'!M101</f>
        <v/>
      </c>
      <c r="L41" s="229"/>
      <c r="M41" s="229" t="str">
        <f ca="1">'Material+Limits'!N101</f>
        <v/>
      </c>
      <c r="N41" s="229" t="str">
        <f ca="1">'Material+Limits'!O101</f>
        <v/>
      </c>
      <c r="O41" s="229" t="str">
        <f ca="1">IF('Material+Limits'!P101&lt;&gt;0,'Material+Limits'!P101,"")</f>
        <v/>
      </c>
      <c r="P41" s="229" t="str">
        <f ca="1">IF('Material+Limits'!Q101&lt;&gt;0,'Material+Limits'!Q101,"")</f>
        <v/>
      </c>
    </row>
    <row r="42" spans="2:16" x14ac:dyDescent="0.25">
      <c r="B42" s="229" t="str">
        <f ca="1">'Material+Limits'!B102</f>
        <v/>
      </c>
      <c r="C42" s="229" t="str">
        <f ca="1">'Material+Limits'!D102</f>
        <v/>
      </c>
      <c r="D42" s="229" t="str">
        <f ca="1">'Material+Limits'!E102</f>
        <v/>
      </c>
      <c r="E42" s="229" t="str">
        <f ca="1">'Material+Limits'!F102</f>
        <v/>
      </c>
      <c r="F42" s="229" t="str">
        <f ca="1">'Material+Limits'!H102</f>
        <v/>
      </c>
      <c r="G42" s="229" t="str">
        <f ca="1">'Material+Limits'!J102</f>
        <v/>
      </c>
      <c r="H42" s="229" t="str">
        <f ca="1">'Material+Limits'!K102</f>
        <v/>
      </c>
      <c r="I42" s="229"/>
      <c r="J42" s="229" t="str">
        <f ca="1">'Material+Limits'!L102</f>
        <v/>
      </c>
      <c r="K42" s="229" t="str">
        <f ca="1">'Material+Limits'!M102</f>
        <v/>
      </c>
      <c r="L42" s="229"/>
      <c r="M42" s="229" t="str">
        <f ca="1">'Material+Limits'!N102</f>
        <v/>
      </c>
      <c r="N42" s="229" t="str">
        <f ca="1">'Material+Limits'!O102</f>
        <v/>
      </c>
      <c r="O42" s="229" t="str">
        <f ca="1">IF('Material+Limits'!P102&lt;&gt;0,'Material+Limits'!P102,"")</f>
        <v/>
      </c>
      <c r="P42" s="229" t="str">
        <f ca="1">IF('Material+Limits'!Q102&lt;&gt;0,'Material+Limits'!Q102,"")</f>
        <v/>
      </c>
    </row>
    <row r="43" spans="2:16" x14ac:dyDescent="0.25">
      <c r="B43" s="229" t="str">
        <f ca="1">'Material+Limits'!B103</f>
        <v/>
      </c>
      <c r="C43" s="229" t="str">
        <f ca="1">'Material+Limits'!D103</f>
        <v/>
      </c>
      <c r="D43" s="229" t="str">
        <f ca="1">'Material+Limits'!E103</f>
        <v/>
      </c>
      <c r="E43" s="229" t="str">
        <f ca="1">'Material+Limits'!F103</f>
        <v/>
      </c>
      <c r="F43" s="229" t="str">
        <f ca="1">'Material+Limits'!H103</f>
        <v/>
      </c>
      <c r="G43" s="229" t="str">
        <f ca="1">'Material+Limits'!J103</f>
        <v/>
      </c>
      <c r="H43" s="229" t="str">
        <f ca="1">'Material+Limits'!K103</f>
        <v/>
      </c>
      <c r="I43" s="229"/>
      <c r="J43" s="229" t="str">
        <f ca="1">'Material+Limits'!L103</f>
        <v/>
      </c>
      <c r="K43" s="229" t="str">
        <f ca="1">'Material+Limits'!M103</f>
        <v/>
      </c>
      <c r="L43" s="229"/>
      <c r="M43" s="229" t="str">
        <f ca="1">'Material+Limits'!N103</f>
        <v/>
      </c>
      <c r="N43" s="229" t="str">
        <f ca="1">'Material+Limits'!O103</f>
        <v/>
      </c>
      <c r="O43" s="229" t="str">
        <f ca="1">IF('Material+Limits'!P103&lt;&gt;0,'Material+Limits'!P103,"")</f>
        <v/>
      </c>
      <c r="P43" s="229" t="str">
        <f ca="1">IF('Material+Limits'!Q103&lt;&gt;0,'Material+Limits'!Q103,"")</f>
        <v/>
      </c>
    </row>
  </sheetData>
  <sheetProtection password="90CC" sheet="1" objects="1" scenarios="1"/>
  <mergeCells count="3">
    <mergeCell ref="J3:K3"/>
    <mergeCell ref="G3:H3"/>
    <mergeCell ref="B2:N2"/>
  </mergeCells>
  <hyperlinks>
    <hyperlink ref="A1" location="KINVARO!A1" display="KINVARO!A1"/>
  </hyperlinks>
  <pageMargins left="0.7" right="0.7" top="0.78740157499999996" bottom="0.78740157499999996" header="0.3" footer="0.3"/>
  <pageSetup paperSize="9" scale="7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P27"/>
  <sheetViews>
    <sheetView showRowColHeaders="0" workbookViewId="0"/>
  </sheetViews>
  <sheetFormatPr baseColWidth="10" defaultRowHeight="15" x14ac:dyDescent="0.25"/>
  <cols>
    <col min="1" max="1" width="11.42578125" style="15"/>
    <col min="2" max="2" width="28" style="15" bestFit="1" customWidth="1"/>
    <col min="3" max="3" width="5.5703125" style="15" bestFit="1" customWidth="1"/>
    <col min="4" max="4" width="14.7109375" style="15" bestFit="1" customWidth="1"/>
    <col min="5" max="5" width="19.42578125" style="15" bestFit="1" customWidth="1"/>
    <col min="6" max="6" width="17.140625" style="15" bestFit="1" customWidth="1"/>
    <col min="7" max="8" width="4" style="15" bestFit="1" customWidth="1"/>
    <col min="9" max="9" width="4" style="15" customWidth="1"/>
    <col min="10" max="11" width="4" style="15" bestFit="1" customWidth="1"/>
    <col min="12" max="12" width="6.140625" style="15" customWidth="1"/>
    <col min="13" max="13" width="37.140625" style="15" bestFit="1" customWidth="1"/>
    <col min="14" max="14" width="11" style="15" bestFit="1" customWidth="1"/>
    <col min="15" max="15" width="18.5703125" style="15" customWidth="1"/>
    <col min="16" max="16" width="19.140625" style="15" bestFit="1" customWidth="1"/>
    <col min="17" max="16384" width="11.42578125" style="15"/>
  </cols>
  <sheetData>
    <row r="1" spans="1:16" x14ac:dyDescent="0.25">
      <c r="A1" s="230" t="str">
        <f ca="1">Sprache!$A$95</f>
        <v>← powrót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</row>
    <row r="2" spans="1:16" ht="31.5" x14ac:dyDescent="0.5">
      <c r="A2" s="192"/>
      <c r="B2" s="321" t="str">
        <f ca="1">Sprache!$A$80 &amp; " "&amp; 'Material+Limits'!$P$2 &amp; " "&amp; Sprache!$A$82</f>
        <v>Rozwiązania z F-20 0</v>
      </c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202"/>
      <c r="P2" s="202"/>
    </row>
    <row r="3" spans="1:16" x14ac:dyDescent="0.25">
      <c r="A3" s="192"/>
      <c r="B3" s="227"/>
      <c r="C3" s="227" t="str">
        <f ca="1">'Material+Limits'!$D$63</f>
        <v>Strona</v>
      </c>
      <c r="D3" s="227" t="str">
        <f ca="1">'Material+Limits'!$E$63</f>
        <v>Numer do zamówienia</v>
      </c>
      <c r="E3" s="227" t="str">
        <f ca="1">'Material+Limits'!$F$63</f>
        <v>Informacja</v>
      </c>
      <c r="F3" s="227" t="str">
        <f ca="1">'Material+Limits'!$H$63</f>
        <v xml:space="preserve">Siłownik/sprężyna </v>
      </c>
      <c r="G3" s="320" t="str">
        <f ca="1">'Material+Limits'!$J$63</f>
        <v>Wysokość</v>
      </c>
      <c r="H3" s="320"/>
      <c r="I3" s="228"/>
      <c r="J3" s="320" t="str">
        <f ca="1">'Material+Limits'!$L$63</f>
        <v>Ciężar</v>
      </c>
      <c r="K3" s="320"/>
      <c r="L3" s="228"/>
      <c r="M3" s="227" t="str">
        <f ca="1">'Material+Limits'!$N$63</f>
        <v>Potrzebne będą również</v>
      </c>
      <c r="N3" s="227"/>
      <c r="O3" s="227" t="str">
        <f ca="1">'Material+Limits'!P63</f>
        <v>zawias</v>
      </c>
      <c r="P3" s="227" t="str">
        <f ca="1">'Material+Limits'!Q63</f>
        <v>prowadnik</v>
      </c>
    </row>
    <row r="4" spans="1:16" x14ac:dyDescent="0.25">
      <c r="A4" s="192"/>
      <c r="B4" s="229" t="str">
        <f ca="1">'Material+Limits'!B106</f>
        <v xml:space="preserve">Podnośnik F-20 </v>
      </c>
      <c r="C4" s="229" t="str">
        <f ca="1">'Material+Limits'!D106</f>
        <v>Zestaw (prawy+lewy)</v>
      </c>
      <c r="D4" s="229" t="str">
        <f ca="1">'Material+Limits'!E106</f>
        <v>F152145237201</v>
      </c>
      <c r="E4" s="229" t="str">
        <f ca="1">'Material+Limits'!F106</f>
        <v>Ramię Typ 2</v>
      </c>
      <c r="F4" s="229" t="str">
        <f ca="1">'Material+Limits'!H106</f>
        <v>Siłownik B</v>
      </c>
      <c r="G4" s="229">
        <f ca="1">'Material+Limits'!J106</f>
        <v>520</v>
      </c>
      <c r="H4" s="229">
        <f ca="1">'Material+Limits'!K106</f>
        <v>559</v>
      </c>
      <c r="I4" s="229"/>
      <c r="J4" s="229">
        <f ca="1">'Material+Limits'!L106</f>
        <v>4.5999999999999996</v>
      </c>
      <c r="K4" s="229">
        <f ca="1">'Material+Limits'!M106</f>
        <v>13.8</v>
      </c>
      <c r="L4" s="229"/>
      <c r="M4" s="229" t="str">
        <f ca="1">'Material+Limits'!N106</f>
        <v>-</v>
      </c>
      <c r="N4" s="229" t="str">
        <f ca="1">'Material+Limits'!O106</f>
        <v>-</v>
      </c>
      <c r="O4" s="229" t="str">
        <f ca="1">IF('Material+Limits'!P106&lt;&gt;0,'Material+Limits'!P106,"")</f>
        <v>TIOMOS 120° zawias</v>
      </c>
      <c r="P4" s="229" t="str">
        <f ca="1">IF('Material+Limits'!Q106&lt;&gt;0,'Material+Limits'!Q106,"")</f>
        <v>1D° prowadnik</v>
      </c>
    </row>
    <row r="5" spans="1:16" x14ac:dyDescent="0.25">
      <c r="A5" s="192"/>
      <c r="B5" s="229" t="str">
        <f ca="1">'Material+Limits'!B107</f>
        <v/>
      </c>
      <c r="C5" s="229" t="str">
        <f ca="1">'Material+Limits'!D107</f>
        <v/>
      </c>
      <c r="D5" s="229" t="str">
        <f ca="1">'Material+Limits'!E107</f>
        <v/>
      </c>
      <c r="E5" s="229" t="str">
        <f ca="1">'Material+Limits'!F107</f>
        <v/>
      </c>
      <c r="F5" s="229" t="str">
        <f ca="1">'Material+Limits'!H107</f>
        <v/>
      </c>
      <c r="G5" s="229" t="str">
        <f ca="1">'Material+Limits'!J107</f>
        <v/>
      </c>
      <c r="H5" s="229" t="str">
        <f ca="1">'Material+Limits'!K107</f>
        <v/>
      </c>
      <c r="I5" s="229"/>
      <c r="J5" s="229" t="str">
        <f ca="1">'Material+Limits'!L107</f>
        <v/>
      </c>
      <c r="K5" s="229" t="str">
        <f ca="1">'Material+Limits'!M107</f>
        <v/>
      </c>
      <c r="L5" s="229"/>
      <c r="M5" s="229" t="str">
        <f ca="1">'Material+Limits'!N107</f>
        <v/>
      </c>
      <c r="N5" s="229" t="str">
        <f ca="1">'Material+Limits'!O107</f>
        <v/>
      </c>
      <c r="O5" s="229" t="str">
        <f ca="1">IF('Material+Limits'!P107&lt;&gt;0,'Material+Limits'!P107,"")</f>
        <v/>
      </c>
      <c r="P5" s="229" t="str">
        <f ca="1">IF('Material+Limits'!Q107&lt;&gt;0,'Material+Limits'!Q107,"")</f>
        <v/>
      </c>
    </row>
    <row r="6" spans="1:16" x14ac:dyDescent="0.25">
      <c r="A6" s="192"/>
      <c r="B6" s="229" t="str">
        <f ca="1">'Material+Limits'!B108</f>
        <v/>
      </c>
      <c r="C6" s="229" t="str">
        <f ca="1">'Material+Limits'!D108</f>
        <v/>
      </c>
      <c r="D6" s="229" t="str">
        <f ca="1">'Material+Limits'!E108</f>
        <v/>
      </c>
      <c r="E6" s="229" t="str">
        <f ca="1">'Material+Limits'!F108</f>
        <v/>
      </c>
      <c r="F6" s="229" t="str">
        <f ca="1">'Material+Limits'!H108</f>
        <v/>
      </c>
      <c r="G6" s="229" t="str">
        <f ca="1">'Material+Limits'!J108</f>
        <v/>
      </c>
      <c r="H6" s="229" t="str">
        <f ca="1">'Material+Limits'!K108</f>
        <v/>
      </c>
      <c r="I6" s="229"/>
      <c r="J6" s="229" t="str">
        <f ca="1">'Material+Limits'!L108</f>
        <v/>
      </c>
      <c r="K6" s="229" t="str">
        <f ca="1">'Material+Limits'!M108</f>
        <v/>
      </c>
      <c r="L6" s="229"/>
      <c r="M6" s="229" t="str">
        <f ca="1">'Material+Limits'!N108</f>
        <v/>
      </c>
      <c r="N6" s="229" t="str">
        <f ca="1">'Material+Limits'!O108</f>
        <v/>
      </c>
      <c r="O6" s="229" t="str">
        <f ca="1">IF('Material+Limits'!P108&lt;&gt;0,'Material+Limits'!P108,"")</f>
        <v/>
      </c>
      <c r="P6" s="229" t="str">
        <f ca="1">IF('Material+Limits'!Q108&lt;&gt;0,'Material+Limits'!Q108,"")</f>
        <v/>
      </c>
    </row>
    <row r="7" spans="1:16" x14ac:dyDescent="0.25">
      <c r="A7" s="192"/>
      <c r="B7" s="229" t="str">
        <f ca="1">'Material+Limits'!B109</f>
        <v/>
      </c>
      <c r="C7" s="229" t="str">
        <f ca="1">'Material+Limits'!D109</f>
        <v/>
      </c>
      <c r="D7" s="229" t="str">
        <f ca="1">'Material+Limits'!E109</f>
        <v/>
      </c>
      <c r="E7" s="229" t="str">
        <f ca="1">'Material+Limits'!F109</f>
        <v/>
      </c>
      <c r="F7" s="229" t="str">
        <f ca="1">'Material+Limits'!H109</f>
        <v/>
      </c>
      <c r="G7" s="229" t="str">
        <f ca="1">'Material+Limits'!J109</f>
        <v/>
      </c>
      <c r="H7" s="229" t="str">
        <f ca="1">'Material+Limits'!K109</f>
        <v/>
      </c>
      <c r="I7" s="229"/>
      <c r="J7" s="229" t="str">
        <f ca="1">'Material+Limits'!L109</f>
        <v/>
      </c>
      <c r="K7" s="229" t="str">
        <f ca="1">'Material+Limits'!M109</f>
        <v/>
      </c>
      <c r="L7" s="229"/>
      <c r="M7" s="229" t="str">
        <f ca="1">'Material+Limits'!N109</f>
        <v/>
      </c>
      <c r="N7" s="229" t="str">
        <f ca="1">'Material+Limits'!O109</f>
        <v/>
      </c>
      <c r="O7" s="229" t="str">
        <f ca="1">IF('Material+Limits'!P109&lt;&gt;0,'Material+Limits'!P109,"")</f>
        <v/>
      </c>
      <c r="P7" s="229" t="str">
        <f ca="1">IF('Material+Limits'!Q109&lt;&gt;0,'Material+Limits'!Q109,"")</f>
        <v/>
      </c>
    </row>
    <row r="8" spans="1:16" x14ac:dyDescent="0.25">
      <c r="A8" s="192"/>
      <c r="B8" s="229" t="str">
        <f ca="1">'Material+Limits'!B110</f>
        <v/>
      </c>
      <c r="C8" s="229" t="str">
        <f ca="1">'Material+Limits'!D110</f>
        <v/>
      </c>
      <c r="D8" s="229" t="str">
        <f ca="1">'Material+Limits'!E110</f>
        <v/>
      </c>
      <c r="E8" s="229" t="str">
        <f ca="1">'Material+Limits'!F110</f>
        <v/>
      </c>
      <c r="F8" s="229" t="str">
        <f ca="1">'Material+Limits'!H110</f>
        <v/>
      </c>
      <c r="G8" s="229" t="str">
        <f ca="1">'Material+Limits'!J110</f>
        <v/>
      </c>
      <c r="H8" s="229" t="str">
        <f ca="1">'Material+Limits'!K110</f>
        <v/>
      </c>
      <c r="I8" s="229"/>
      <c r="J8" s="229" t="str">
        <f ca="1">'Material+Limits'!L110</f>
        <v/>
      </c>
      <c r="K8" s="229" t="str">
        <f ca="1">'Material+Limits'!M110</f>
        <v/>
      </c>
      <c r="L8" s="229"/>
      <c r="M8" s="229" t="str">
        <f ca="1">'Material+Limits'!N110</f>
        <v/>
      </c>
      <c r="N8" s="229" t="str">
        <f ca="1">'Material+Limits'!O110</f>
        <v/>
      </c>
      <c r="O8" s="229" t="str">
        <f ca="1">IF('Material+Limits'!P110&lt;&gt;0,'Material+Limits'!P110,"")</f>
        <v/>
      </c>
      <c r="P8" s="229" t="str">
        <f ca="1">IF('Material+Limits'!Q110&lt;&gt;0,'Material+Limits'!Q110,"")</f>
        <v/>
      </c>
    </row>
    <row r="9" spans="1:16" x14ac:dyDescent="0.25">
      <c r="A9" s="192"/>
      <c r="B9" s="229" t="str">
        <f ca="1">'Material+Limits'!B111</f>
        <v/>
      </c>
      <c r="C9" s="229" t="str">
        <f ca="1">'Material+Limits'!D111</f>
        <v/>
      </c>
      <c r="D9" s="229" t="str">
        <f ca="1">'Material+Limits'!E111</f>
        <v/>
      </c>
      <c r="E9" s="229" t="str">
        <f ca="1">'Material+Limits'!F111</f>
        <v/>
      </c>
      <c r="F9" s="229" t="str">
        <f ca="1">'Material+Limits'!H111</f>
        <v/>
      </c>
      <c r="G9" s="229" t="str">
        <f ca="1">'Material+Limits'!J111</f>
        <v/>
      </c>
      <c r="H9" s="229" t="str">
        <f ca="1">'Material+Limits'!K111</f>
        <v/>
      </c>
      <c r="I9" s="229"/>
      <c r="J9" s="229" t="str">
        <f ca="1">'Material+Limits'!L111</f>
        <v/>
      </c>
      <c r="K9" s="229" t="str">
        <f ca="1">'Material+Limits'!M111</f>
        <v/>
      </c>
      <c r="L9" s="229"/>
      <c r="M9" s="229" t="str">
        <f ca="1">'Material+Limits'!N111</f>
        <v/>
      </c>
      <c r="N9" s="229" t="str">
        <f ca="1">'Material+Limits'!O111</f>
        <v/>
      </c>
      <c r="O9" s="229" t="str">
        <f ca="1">IF('Material+Limits'!P111&lt;&gt;0,'Material+Limits'!P111,"")</f>
        <v/>
      </c>
      <c r="P9" s="229" t="str">
        <f ca="1">IF('Material+Limits'!Q111&lt;&gt;0,'Material+Limits'!Q111,"")</f>
        <v/>
      </c>
    </row>
    <row r="10" spans="1:16" x14ac:dyDescent="0.25">
      <c r="A10" s="192"/>
      <c r="B10" s="229" t="str">
        <f ca="1">'Material+Limits'!B112</f>
        <v/>
      </c>
      <c r="C10" s="229" t="str">
        <f ca="1">'Material+Limits'!D112</f>
        <v/>
      </c>
      <c r="D10" s="229" t="str">
        <f ca="1">'Material+Limits'!E112</f>
        <v/>
      </c>
      <c r="E10" s="229" t="str">
        <f ca="1">'Material+Limits'!F112</f>
        <v/>
      </c>
      <c r="F10" s="229" t="str">
        <f ca="1">'Material+Limits'!H112</f>
        <v/>
      </c>
      <c r="G10" s="229" t="str">
        <f ca="1">'Material+Limits'!J112</f>
        <v/>
      </c>
      <c r="H10" s="229" t="str">
        <f ca="1">'Material+Limits'!K112</f>
        <v/>
      </c>
      <c r="I10" s="229"/>
      <c r="J10" s="229" t="str">
        <f ca="1">'Material+Limits'!L112</f>
        <v/>
      </c>
      <c r="K10" s="229" t="str">
        <f ca="1">'Material+Limits'!M112</f>
        <v/>
      </c>
      <c r="L10" s="229"/>
      <c r="M10" s="229" t="str">
        <f ca="1">'Material+Limits'!N112</f>
        <v/>
      </c>
      <c r="N10" s="229" t="str">
        <f ca="1">'Material+Limits'!O112</f>
        <v/>
      </c>
      <c r="O10" s="229" t="str">
        <f ca="1">IF('Material+Limits'!P112&lt;&gt;0,'Material+Limits'!P112,"")</f>
        <v/>
      </c>
      <c r="P10" s="229" t="str">
        <f ca="1">IF('Material+Limits'!Q112&lt;&gt;0,'Material+Limits'!Q112,"")</f>
        <v/>
      </c>
    </row>
    <row r="11" spans="1:16" x14ac:dyDescent="0.25">
      <c r="A11" s="192"/>
      <c r="B11" s="229" t="str">
        <f ca="1">'Material+Limits'!B113</f>
        <v/>
      </c>
      <c r="C11" s="229" t="str">
        <f ca="1">'Material+Limits'!D113</f>
        <v/>
      </c>
      <c r="D11" s="229" t="str">
        <f ca="1">'Material+Limits'!E113</f>
        <v/>
      </c>
      <c r="E11" s="229" t="str">
        <f ca="1">'Material+Limits'!F113</f>
        <v/>
      </c>
      <c r="F11" s="229" t="str">
        <f ca="1">'Material+Limits'!H113</f>
        <v/>
      </c>
      <c r="G11" s="229" t="str">
        <f ca="1">'Material+Limits'!J113</f>
        <v/>
      </c>
      <c r="H11" s="229" t="str">
        <f ca="1">'Material+Limits'!K113</f>
        <v/>
      </c>
      <c r="I11" s="229"/>
      <c r="J11" s="229" t="str">
        <f ca="1">'Material+Limits'!L113</f>
        <v/>
      </c>
      <c r="K11" s="229" t="str">
        <f ca="1">'Material+Limits'!M113</f>
        <v/>
      </c>
      <c r="L11" s="229"/>
      <c r="M11" s="229" t="str">
        <f ca="1">'Material+Limits'!N113</f>
        <v/>
      </c>
      <c r="N11" s="229" t="str">
        <f ca="1">'Material+Limits'!O113</f>
        <v/>
      </c>
      <c r="O11" s="229" t="str">
        <f ca="1">IF('Material+Limits'!P113&lt;&gt;0,'Material+Limits'!P113,"")</f>
        <v/>
      </c>
      <c r="P11" s="229" t="str">
        <f ca="1">IF('Material+Limits'!Q113&lt;&gt;0,'Material+Limits'!Q113,"")</f>
        <v/>
      </c>
    </row>
    <row r="12" spans="1:16" x14ac:dyDescent="0.25">
      <c r="A12" s="192"/>
      <c r="B12" s="229" t="str">
        <f ca="1">'Material+Limits'!B114</f>
        <v/>
      </c>
      <c r="C12" s="229" t="str">
        <f ca="1">'Material+Limits'!D114</f>
        <v/>
      </c>
      <c r="D12" s="229" t="str">
        <f ca="1">'Material+Limits'!E114</f>
        <v/>
      </c>
      <c r="E12" s="229" t="str">
        <f ca="1">'Material+Limits'!F114</f>
        <v/>
      </c>
      <c r="F12" s="229" t="str">
        <f ca="1">'Material+Limits'!H114</f>
        <v/>
      </c>
      <c r="G12" s="229" t="str">
        <f ca="1">'Material+Limits'!J114</f>
        <v/>
      </c>
      <c r="H12" s="229" t="str">
        <f ca="1">'Material+Limits'!K114</f>
        <v/>
      </c>
      <c r="I12" s="229"/>
      <c r="J12" s="229" t="str">
        <f ca="1">'Material+Limits'!L114</f>
        <v/>
      </c>
      <c r="K12" s="229" t="str">
        <f ca="1">'Material+Limits'!M114</f>
        <v/>
      </c>
      <c r="L12" s="229"/>
      <c r="M12" s="229" t="str">
        <f ca="1">'Material+Limits'!N114</f>
        <v/>
      </c>
      <c r="N12" s="229" t="str">
        <f ca="1">'Material+Limits'!O114</f>
        <v/>
      </c>
      <c r="O12" s="229" t="str">
        <f ca="1">IF('Material+Limits'!P114&lt;&gt;0,'Material+Limits'!P114,"")</f>
        <v/>
      </c>
      <c r="P12" s="229" t="str">
        <f ca="1">IF('Material+Limits'!Q114&lt;&gt;0,'Material+Limits'!Q114,"")</f>
        <v/>
      </c>
    </row>
    <row r="13" spans="1:16" x14ac:dyDescent="0.25">
      <c r="A13" s="192"/>
      <c r="B13" s="229" t="str">
        <f ca="1">'Material+Limits'!B115</f>
        <v/>
      </c>
      <c r="C13" s="229" t="str">
        <f ca="1">'Material+Limits'!D115</f>
        <v/>
      </c>
      <c r="D13" s="229" t="str">
        <f ca="1">'Material+Limits'!E115</f>
        <v/>
      </c>
      <c r="E13" s="229" t="str">
        <f ca="1">'Material+Limits'!F115</f>
        <v/>
      </c>
      <c r="F13" s="229" t="str">
        <f ca="1">'Material+Limits'!H115</f>
        <v/>
      </c>
      <c r="G13" s="229" t="str">
        <f ca="1">'Material+Limits'!J115</f>
        <v/>
      </c>
      <c r="H13" s="229" t="str">
        <f ca="1">'Material+Limits'!K115</f>
        <v/>
      </c>
      <c r="I13" s="229"/>
      <c r="J13" s="229" t="str">
        <f ca="1">'Material+Limits'!L115</f>
        <v/>
      </c>
      <c r="K13" s="229" t="str">
        <f ca="1">'Material+Limits'!M115</f>
        <v/>
      </c>
      <c r="L13" s="229"/>
      <c r="M13" s="229" t="str">
        <f ca="1">'Material+Limits'!N115</f>
        <v/>
      </c>
      <c r="N13" s="229" t="str">
        <f ca="1">'Material+Limits'!O115</f>
        <v/>
      </c>
      <c r="O13" s="229" t="str">
        <f ca="1">IF('Material+Limits'!P115&lt;&gt;0,'Material+Limits'!P115,"")</f>
        <v/>
      </c>
      <c r="P13" s="229" t="str">
        <f ca="1">IF('Material+Limits'!Q115&lt;&gt;0,'Material+Limits'!Q115,"")</f>
        <v/>
      </c>
    </row>
    <row r="14" spans="1:16" x14ac:dyDescent="0.25">
      <c r="A14" s="192"/>
      <c r="B14" s="229" t="str">
        <f ca="1">'Material+Limits'!B116</f>
        <v/>
      </c>
      <c r="C14" s="229" t="str">
        <f ca="1">'Material+Limits'!D116</f>
        <v/>
      </c>
      <c r="D14" s="229" t="str">
        <f ca="1">'Material+Limits'!E116</f>
        <v/>
      </c>
      <c r="E14" s="229" t="str">
        <f ca="1">'Material+Limits'!F116</f>
        <v/>
      </c>
      <c r="F14" s="229" t="str">
        <f ca="1">'Material+Limits'!H116</f>
        <v/>
      </c>
      <c r="G14" s="229" t="str">
        <f ca="1">'Material+Limits'!J116</f>
        <v/>
      </c>
      <c r="H14" s="229" t="str">
        <f ca="1">'Material+Limits'!K116</f>
        <v/>
      </c>
      <c r="I14" s="229"/>
      <c r="J14" s="229" t="str">
        <f ca="1">'Material+Limits'!L116</f>
        <v/>
      </c>
      <c r="K14" s="229" t="str">
        <f ca="1">'Material+Limits'!M116</f>
        <v/>
      </c>
      <c r="L14" s="229"/>
      <c r="M14" s="229" t="str">
        <f ca="1">'Material+Limits'!N116</f>
        <v/>
      </c>
      <c r="N14" s="229" t="str">
        <f ca="1">'Material+Limits'!O116</f>
        <v/>
      </c>
      <c r="O14" s="229" t="str">
        <f ca="1">IF('Material+Limits'!P116&lt;&gt;0,'Material+Limits'!P116,"")</f>
        <v/>
      </c>
      <c r="P14" s="229" t="str">
        <f ca="1">IF('Material+Limits'!Q116&lt;&gt;0,'Material+Limits'!Q116,"")</f>
        <v/>
      </c>
    </row>
    <row r="15" spans="1:16" x14ac:dyDescent="0.25">
      <c r="A15" s="192"/>
      <c r="B15" s="229" t="str">
        <f ca="1">'Material+Limits'!B117</f>
        <v/>
      </c>
      <c r="C15" s="229" t="str">
        <f ca="1">'Material+Limits'!D117</f>
        <v/>
      </c>
      <c r="D15" s="229" t="str">
        <f ca="1">'Material+Limits'!E117</f>
        <v/>
      </c>
      <c r="E15" s="229" t="str">
        <f ca="1">'Material+Limits'!F117</f>
        <v/>
      </c>
      <c r="F15" s="229" t="str">
        <f ca="1">'Material+Limits'!H117</f>
        <v/>
      </c>
      <c r="G15" s="229" t="str">
        <f ca="1">'Material+Limits'!J117</f>
        <v/>
      </c>
      <c r="H15" s="229" t="str">
        <f ca="1">'Material+Limits'!K117</f>
        <v/>
      </c>
      <c r="I15" s="229"/>
      <c r="J15" s="229" t="str">
        <f ca="1">'Material+Limits'!L117</f>
        <v/>
      </c>
      <c r="K15" s="229" t="str">
        <f ca="1">'Material+Limits'!M117</f>
        <v/>
      </c>
      <c r="L15" s="229"/>
      <c r="M15" s="229" t="str">
        <f ca="1">'Material+Limits'!N117</f>
        <v/>
      </c>
      <c r="N15" s="229" t="str">
        <f ca="1">'Material+Limits'!O117</f>
        <v/>
      </c>
      <c r="O15" s="229" t="str">
        <f ca="1">IF('Material+Limits'!P117&lt;&gt;0,'Material+Limits'!P117,"")</f>
        <v/>
      </c>
      <c r="P15" s="229" t="str">
        <f ca="1">IF('Material+Limits'!Q117&lt;&gt;0,'Material+Limits'!Q117,"")</f>
        <v/>
      </c>
    </row>
    <row r="16" spans="1:16" x14ac:dyDescent="0.25">
      <c r="A16" s="192"/>
      <c r="B16" s="229" t="str">
        <f ca="1">'Material+Limits'!B118</f>
        <v/>
      </c>
      <c r="C16" s="229" t="str">
        <f ca="1">'Material+Limits'!D118</f>
        <v/>
      </c>
      <c r="D16" s="229" t="str">
        <f ca="1">'Material+Limits'!E118</f>
        <v/>
      </c>
      <c r="E16" s="229" t="str">
        <f ca="1">'Material+Limits'!F118</f>
        <v/>
      </c>
      <c r="F16" s="229" t="str">
        <f ca="1">'Material+Limits'!H118</f>
        <v/>
      </c>
      <c r="G16" s="229" t="str">
        <f ca="1">'Material+Limits'!J118</f>
        <v/>
      </c>
      <c r="H16" s="229" t="str">
        <f ca="1">'Material+Limits'!K118</f>
        <v/>
      </c>
      <c r="I16" s="229"/>
      <c r="J16" s="229" t="str">
        <f ca="1">'Material+Limits'!L118</f>
        <v/>
      </c>
      <c r="K16" s="229" t="str">
        <f ca="1">'Material+Limits'!M118</f>
        <v/>
      </c>
      <c r="L16" s="229"/>
      <c r="M16" s="229" t="str">
        <f ca="1">'Material+Limits'!N118</f>
        <v/>
      </c>
      <c r="N16" s="229" t="str">
        <f ca="1">'Material+Limits'!O118</f>
        <v/>
      </c>
      <c r="O16" s="229" t="str">
        <f ca="1">IF('Material+Limits'!P118&lt;&gt;0,'Material+Limits'!P118,"")</f>
        <v/>
      </c>
      <c r="P16" s="229" t="str">
        <f ca="1">IF('Material+Limits'!Q118&lt;&gt;0,'Material+Limits'!Q118,"")</f>
        <v/>
      </c>
    </row>
    <row r="17" spans="1:16" x14ac:dyDescent="0.25">
      <c r="A17" s="192"/>
      <c r="B17" s="229" t="str">
        <f ca="1">'Material+Limits'!B119</f>
        <v/>
      </c>
      <c r="C17" s="229" t="str">
        <f ca="1">'Material+Limits'!D119</f>
        <v/>
      </c>
      <c r="D17" s="229" t="str">
        <f ca="1">'Material+Limits'!E119</f>
        <v/>
      </c>
      <c r="E17" s="229" t="str">
        <f ca="1">'Material+Limits'!F119</f>
        <v/>
      </c>
      <c r="F17" s="229" t="str">
        <f ca="1">'Material+Limits'!H119</f>
        <v/>
      </c>
      <c r="G17" s="229" t="str">
        <f ca="1">'Material+Limits'!J119</f>
        <v/>
      </c>
      <c r="H17" s="229" t="str">
        <f ca="1">'Material+Limits'!K119</f>
        <v/>
      </c>
      <c r="I17" s="229"/>
      <c r="J17" s="229" t="str">
        <f ca="1">'Material+Limits'!L119</f>
        <v/>
      </c>
      <c r="K17" s="229" t="str">
        <f ca="1">'Material+Limits'!M119</f>
        <v/>
      </c>
      <c r="L17" s="229"/>
      <c r="M17" s="229" t="str">
        <f ca="1">'Material+Limits'!N119</f>
        <v/>
      </c>
      <c r="N17" s="229" t="str">
        <f ca="1">'Material+Limits'!O119</f>
        <v/>
      </c>
      <c r="O17" s="229" t="str">
        <f ca="1">IF('Material+Limits'!P119&lt;&gt;0,'Material+Limits'!P119,"")</f>
        <v/>
      </c>
      <c r="P17" s="229" t="str">
        <f ca="1">IF('Material+Limits'!Q119&lt;&gt;0,'Material+Limits'!Q119,"")</f>
        <v/>
      </c>
    </row>
    <row r="18" spans="1:16" x14ac:dyDescent="0.25">
      <c r="A18" s="192"/>
      <c r="B18" s="229" t="str">
        <f ca="1">'Material+Limits'!B120</f>
        <v/>
      </c>
      <c r="C18" s="229" t="str">
        <f ca="1">'Material+Limits'!D120</f>
        <v/>
      </c>
      <c r="D18" s="229" t="str">
        <f ca="1">'Material+Limits'!E120</f>
        <v/>
      </c>
      <c r="E18" s="229" t="str">
        <f ca="1">'Material+Limits'!F120</f>
        <v/>
      </c>
      <c r="F18" s="229" t="str">
        <f ca="1">'Material+Limits'!H120</f>
        <v/>
      </c>
      <c r="G18" s="229" t="str">
        <f ca="1">'Material+Limits'!J120</f>
        <v/>
      </c>
      <c r="H18" s="229" t="str">
        <f ca="1">'Material+Limits'!K120</f>
        <v/>
      </c>
      <c r="I18" s="229"/>
      <c r="J18" s="229" t="str">
        <f ca="1">'Material+Limits'!L120</f>
        <v/>
      </c>
      <c r="K18" s="229" t="str">
        <f ca="1">'Material+Limits'!M120</f>
        <v/>
      </c>
      <c r="L18" s="229"/>
      <c r="M18" s="229" t="str">
        <f ca="1">'Material+Limits'!N120</f>
        <v/>
      </c>
      <c r="N18" s="229" t="str">
        <f ca="1">'Material+Limits'!O120</f>
        <v/>
      </c>
      <c r="O18" s="229" t="str">
        <f ca="1">IF('Material+Limits'!P120&lt;&gt;0,'Material+Limits'!P120,"")</f>
        <v/>
      </c>
      <c r="P18" s="229" t="str">
        <f ca="1">IF('Material+Limits'!Q120&lt;&gt;0,'Material+Limits'!Q120,"")</f>
        <v/>
      </c>
    </row>
    <row r="19" spans="1:16" x14ac:dyDescent="0.25">
      <c r="A19" s="192"/>
      <c r="B19" s="229" t="str">
        <f ca="1">'Material+Limits'!B121</f>
        <v/>
      </c>
      <c r="C19" s="229" t="str">
        <f ca="1">'Material+Limits'!D121</f>
        <v/>
      </c>
      <c r="D19" s="229" t="str">
        <f ca="1">'Material+Limits'!E121</f>
        <v/>
      </c>
      <c r="E19" s="229" t="str">
        <f ca="1">'Material+Limits'!F121</f>
        <v/>
      </c>
      <c r="F19" s="229" t="str">
        <f ca="1">'Material+Limits'!H121</f>
        <v/>
      </c>
      <c r="G19" s="229" t="str">
        <f ca="1">'Material+Limits'!J121</f>
        <v/>
      </c>
      <c r="H19" s="229" t="str">
        <f ca="1">'Material+Limits'!K121</f>
        <v/>
      </c>
      <c r="I19" s="229"/>
      <c r="J19" s="229" t="str">
        <f ca="1">'Material+Limits'!L121</f>
        <v/>
      </c>
      <c r="K19" s="229" t="str">
        <f ca="1">'Material+Limits'!M121</f>
        <v/>
      </c>
      <c r="L19" s="229"/>
      <c r="M19" s="229" t="str">
        <f ca="1">'Material+Limits'!N121</f>
        <v/>
      </c>
      <c r="N19" s="229" t="str">
        <f ca="1">'Material+Limits'!O121</f>
        <v/>
      </c>
      <c r="O19" s="229" t="str">
        <f ca="1">IF('Material+Limits'!P121&lt;&gt;0,'Material+Limits'!P121,"")</f>
        <v/>
      </c>
      <c r="P19" s="229" t="str">
        <f ca="1">IF('Material+Limits'!Q121&lt;&gt;0,'Material+Limits'!Q121,"")</f>
        <v/>
      </c>
    </row>
    <row r="20" spans="1:16" x14ac:dyDescent="0.25">
      <c r="A20" s="192"/>
      <c r="B20" s="229" t="str">
        <f ca="1">'Material+Limits'!B122</f>
        <v/>
      </c>
      <c r="C20" s="229" t="str">
        <f ca="1">'Material+Limits'!D122</f>
        <v/>
      </c>
      <c r="D20" s="229" t="str">
        <f ca="1">'Material+Limits'!E122</f>
        <v/>
      </c>
      <c r="E20" s="229" t="str">
        <f ca="1">'Material+Limits'!F122</f>
        <v/>
      </c>
      <c r="F20" s="229" t="str">
        <f ca="1">'Material+Limits'!H122</f>
        <v/>
      </c>
      <c r="G20" s="229" t="str">
        <f ca="1">'Material+Limits'!J122</f>
        <v/>
      </c>
      <c r="H20" s="229" t="str">
        <f ca="1">'Material+Limits'!K122</f>
        <v/>
      </c>
      <c r="I20" s="229"/>
      <c r="J20" s="229" t="str">
        <f ca="1">'Material+Limits'!L122</f>
        <v/>
      </c>
      <c r="K20" s="229" t="str">
        <f ca="1">'Material+Limits'!M122</f>
        <v/>
      </c>
      <c r="L20" s="229"/>
      <c r="M20" s="229" t="str">
        <f ca="1">'Material+Limits'!N122</f>
        <v/>
      </c>
      <c r="N20" s="229" t="str">
        <f ca="1">'Material+Limits'!O122</f>
        <v/>
      </c>
      <c r="O20" s="229" t="str">
        <f ca="1">IF('Material+Limits'!P122&lt;&gt;0,'Material+Limits'!P122,"")</f>
        <v/>
      </c>
      <c r="P20" s="229" t="str">
        <f ca="1">IF('Material+Limits'!Q122&lt;&gt;0,'Material+Limits'!Q122,"")</f>
        <v/>
      </c>
    </row>
    <row r="21" spans="1:16" x14ac:dyDescent="0.25">
      <c r="A21" s="192"/>
      <c r="B21" s="229" t="str">
        <f ca="1">'Material+Limits'!B123</f>
        <v/>
      </c>
      <c r="C21" s="229" t="str">
        <f ca="1">'Material+Limits'!D123</f>
        <v/>
      </c>
      <c r="D21" s="229" t="str">
        <f ca="1">'Material+Limits'!E123</f>
        <v/>
      </c>
      <c r="E21" s="229" t="str">
        <f ca="1">'Material+Limits'!F123</f>
        <v/>
      </c>
      <c r="F21" s="229" t="str">
        <f ca="1">'Material+Limits'!H123</f>
        <v/>
      </c>
      <c r="G21" s="229" t="str">
        <f ca="1">'Material+Limits'!J123</f>
        <v/>
      </c>
      <c r="H21" s="229" t="str">
        <f ca="1">'Material+Limits'!K123</f>
        <v/>
      </c>
      <c r="I21" s="229"/>
      <c r="J21" s="229" t="str">
        <f ca="1">'Material+Limits'!L123</f>
        <v/>
      </c>
      <c r="K21" s="229" t="str">
        <f ca="1">'Material+Limits'!M123</f>
        <v/>
      </c>
      <c r="L21" s="229"/>
      <c r="M21" s="229" t="str">
        <f ca="1">'Material+Limits'!N123</f>
        <v/>
      </c>
      <c r="N21" s="229" t="str">
        <f ca="1">'Material+Limits'!O123</f>
        <v/>
      </c>
      <c r="O21" s="229" t="str">
        <f ca="1">IF('Material+Limits'!P123&lt;&gt;0,'Material+Limits'!P123,"")</f>
        <v/>
      </c>
      <c r="P21" s="229" t="str">
        <f ca="1">IF('Material+Limits'!Q123&lt;&gt;0,'Material+Limits'!Q123,"")</f>
        <v/>
      </c>
    </row>
    <row r="22" spans="1:16" x14ac:dyDescent="0.25">
      <c r="A22" s="192"/>
      <c r="B22" s="229" t="str">
        <f ca="1">'Material+Limits'!B124</f>
        <v/>
      </c>
      <c r="C22" s="229" t="str">
        <f ca="1">'Material+Limits'!D124</f>
        <v/>
      </c>
      <c r="D22" s="229" t="str">
        <f ca="1">'Material+Limits'!E124</f>
        <v/>
      </c>
      <c r="E22" s="229" t="str">
        <f ca="1">'Material+Limits'!F124</f>
        <v/>
      </c>
      <c r="F22" s="229" t="str">
        <f ca="1">'Material+Limits'!H124</f>
        <v/>
      </c>
      <c r="G22" s="229" t="str">
        <f ca="1">'Material+Limits'!J124</f>
        <v/>
      </c>
      <c r="H22" s="229" t="str">
        <f ca="1">'Material+Limits'!K124</f>
        <v/>
      </c>
      <c r="I22" s="229"/>
      <c r="J22" s="229" t="str">
        <f ca="1">'Material+Limits'!L124</f>
        <v/>
      </c>
      <c r="K22" s="229" t="str">
        <f ca="1">'Material+Limits'!M124</f>
        <v/>
      </c>
      <c r="L22" s="229"/>
      <c r="M22" s="229" t="str">
        <f ca="1">'Material+Limits'!N124</f>
        <v/>
      </c>
      <c r="N22" s="229" t="str">
        <f ca="1">'Material+Limits'!O124</f>
        <v/>
      </c>
      <c r="O22" s="229" t="str">
        <f ca="1">IF('Material+Limits'!P124&lt;&gt;0,'Material+Limits'!P124,"")</f>
        <v/>
      </c>
      <c r="P22" s="229" t="str">
        <f ca="1">IF('Material+Limits'!Q124&lt;&gt;0,'Material+Limits'!Q124,"")</f>
        <v/>
      </c>
    </row>
    <row r="23" spans="1:16" x14ac:dyDescent="0.25">
      <c r="A23" s="192"/>
      <c r="B23" s="229" t="str">
        <f ca="1">'Material+Limits'!B125</f>
        <v/>
      </c>
      <c r="C23" s="229" t="str">
        <f ca="1">'Material+Limits'!D125</f>
        <v/>
      </c>
      <c r="D23" s="229" t="str">
        <f ca="1">'Material+Limits'!E125</f>
        <v/>
      </c>
      <c r="E23" s="229" t="str">
        <f ca="1">'Material+Limits'!F125</f>
        <v/>
      </c>
      <c r="F23" s="229" t="str">
        <f ca="1">'Material+Limits'!H125</f>
        <v/>
      </c>
      <c r="G23" s="229" t="str">
        <f ca="1">'Material+Limits'!J125</f>
        <v/>
      </c>
      <c r="H23" s="229" t="str">
        <f ca="1">'Material+Limits'!K125</f>
        <v/>
      </c>
      <c r="I23" s="229"/>
      <c r="J23" s="229" t="str">
        <f ca="1">'Material+Limits'!L125</f>
        <v/>
      </c>
      <c r="K23" s="229" t="str">
        <f ca="1">'Material+Limits'!M125</f>
        <v/>
      </c>
      <c r="L23" s="229"/>
      <c r="M23" s="229" t="str">
        <f ca="1">'Material+Limits'!N125</f>
        <v/>
      </c>
      <c r="N23" s="229" t="str">
        <f ca="1">'Material+Limits'!O125</f>
        <v/>
      </c>
      <c r="O23" s="229" t="str">
        <f ca="1">IF('Material+Limits'!P125&lt;&gt;0,'Material+Limits'!P125,"")</f>
        <v/>
      </c>
      <c r="P23" s="229" t="str">
        <f ca="1">IF('Material+Limits'!Q125&lt;&gt;0,'Material+Limits'!Q125,"")</f>
        <v/>
      </c>
    </row>
    <row r="24" spans="1:16" x14ac:dyDescent="0.25">
      <c r="A24" s="192"/>
      <c r="B24" s="229" t="str">
        <f ca="1">'Material+Limits'!B126</f>
        <v/>
      </c>
      <c r="C24" s="229" t="str">
        <f ca="1">'Material+Limits'!D126</f>
        <v/>
      </c>
      <c r="D24" s="229" t="str">
        <f ca="1">'Material+Limits'!E126</f>
        <v/>
      </c>
      <c r="E24" s="229" t="str">
        <f ca="1">'Material+Limits'!F126</f>
        <v/>
      </c>
      <c r="F24" s="229" t="str">
        <f ca="1">'Material+Limits'!H126</f>
        <v/>
      </c>
      <c r="G24" s="229" t="str">
        <f ca="1">'Material+Limits'!J126</f>
        <v/>
      </c>
      <c r="H24" s="229" t="str">
        <f ca="1">'Material+Limits'!K126</f>
        <v/>
      </c>
      <c r="I24" s="229"/>
      <c r="J24" s="229" t="str">
        <f ca="1">'Material+Limits'!L126</f>
        <v/>
      </c>
      <c r="K24" s="229" t="str">
        <f ca="1">'Material+Limits'!M126</f>
        <v/>
      </c>
      <c r="L24" s="229"/>
      <c r="M24" s="229" t="str">
        <f ca="1">'Material+Limits'!N126</f>
        <v/>
      </c>
      <c r="N24" s="229" t="str">
        <f ca="1">'Material+Limits'!O126</f>
        <v/>
      </c>
      <c r="O24" s="229" t="str">
        <f ca="1">IF('Material+Limits'!P126&lt;&gt;0,'Material+Limits'!P126,"")</f>
        <v/>
      </c>
      <c r="P24" s="229" t="str">
        <f ca="1">IF('Material+Limits'!Q126&lt;&gt;0,'Material+Limits'!Q126,"")</f>
        <v/>
      </c>
    </row>
    <row r="25" spans="1:16" x14ac:dyDescent="0.25">
      <c r="A25" s="192"/>
      <c r="B25" s="229" t="str">
        <f ca="1">'Material+Limits'!B127</f>
        <v/>
      </c>
      <c r="C25" s="229" t="str">
        <f ca="1">'Material+Limits'!D127</f>
        <v/>
      </c>
      <c r="D25" s="229" t="str">
        <f ca="1">'Material+Limits'!E127</f>
        <v/>
      </c>
      <c r="E25" s="229" t="str">
        <f ca="1">'Material+Limits'!F127</f>
        <v/>
      </c>
      <c r="F25" s="229" t="str">
        <f ca="1">'Material+Limits'!H127</f>
        <v/>
      </c>
      <c r="G25" s="229" t="str">
        <f ca="1">'Material+Limits'!J127</f>
        <v/>
      </c>
      <c r="H25" s="229" t="str">
        <f ca="1">'Material+Limits'!K127</f>
        <v/>
      </c>
      <c r="I25" s="229"/>
      <c r="J25" s="229" t="str">
        <f ca="1">'Material+Limits'!L127</f>
        <v/>
      </c>
      <c r="K25" s="229" t="str">
        <f ca="1">'Material+Limits'!M127</f>
        <v/>
      </c>
      <c r="L25" s="229"/>
      <c r="M25" s="229" t="str">
        <f ca="1">'Material+Limits'!N127</f>
        <v/>
      </c>
      <c r="N25" s="229" t="str">
        <f ca="1">'Material+Limits'!O127</f>
        <v/>
      </c>
      <c r="O25" s="229" t="str">
        <f ca="1">IF('Material+Limits'!P127&lt;&gt;0,'Material+Limits'!P127,"")</f>
        <v/>
      </c>
      <c r="P25" s="229" t="str">
        <f ca="1">IF('Material+Limits'!Q127&lt;&gt;0,'Material+Limits'!Q127,"")</f>
        <v/>
      </c>
    </row>
    <row r="26" spans="1:16" x14ac:dyDescent="0.25">
      <c r="A26" s="192"/>
      <c r="B26" s="229" t="str">
        <f ca="1">'Material+Limits'!B128</f>
        <v/>
      </c>
      <c r="C26" s="229" t="str">
        <f ca="1">'Material+Limits'!D128</f>
        <v/>
      </c>
      <c r="D26" s="229" t="str">
        <f ca="1">'Material+Limits'!E128</f>
        <v/>
      </c>
      <c r="E26" s="229" t="str">
        <f ca="1">'Material+Limits'!F128</f>
        <v/>
      </c>
      <c r="F26" s="229" t="str">
        <f ca="1">'Material+Limits'!H128</f>
        <v/>
      </c>
      <c r="G26" s="229" t="str">
        <f ca="1">'Material+Limits'!J128</f>
        <v/>
      </c>
      <c r="H26" s="229" t="str">
        <f ca="1">'Material+Limits'!K128</f>
        <v/>
      </c>
      <c r="I26" s="229"/>
      <c r="J26" s="229" t="str">
        <f ca="1">'Material+Limits'!L128</f>
        <v/>
      </c>
      <c r="K26" s="229" t="str">
        <f ca="1">'Material+Limits'!M128</f>
        <v/>
      </c>
      <c r="L26" s="229"/>
      <c r="M26" s="229" t="str">
        <f ca="1">'Material+Limits'!N128</f>
        <v/>
      </c>
      <c r="N26" s="229" t="str">
        <f ca="1">'Material+Limits'!O128</f>
        <v/>
      </c>
      <c r="O26" s="229" t="str">
        <f ca="1">IF('Material+Limits'!P128&lt;&gt;0,'Material+Limits'!P128,"")</f>
        <v/>
      </c>
      <c r="P26" s="229" t="str">
        <f ca="1">IF('Material+Limits'!Q128&lt;&gt;0,'Material+Limits'!Q128,"")</f>
        <v/>
      </c>
    </row>
    <row r="27" spans="1:16" x14ac:dyDescent="0.25">
      <c r="A27" s="192"/>
      <c r="B27" s="229" t="str">
        <f ca="1">'Material+Limits'!B129</f>
        <v/>
      </c>
      <c r="C27" s="229" t="str">
        <f ca="1">'Material+Limits'!D129</f>
        <v/>
      </c>
      <c r="D27" s="229" t="str">
        <f ca="1">'Material+Limits'!E129</f>
        <v/>
      </c>
      <c r="E27" s="229" t="str">
        <f ca="1">'Material+Limits'!F129</f>
        <v/>
      </c>
      <c r="F27" s="229" t="str">
        <f ca="1">'Material+Limits'!H129</f>
        <v/>
      </c>
      <c r="G27" s="229" t="str">
        <f ca="1">'Material+Limits'!J129</f>
        <v/>
      </c>
      <c r="H27" s="229" t="str">
        <f ca="1">'Material+Limits'!K129</f>
        <v/>
      </c>
      <c r="I27" s="229"/>
      <c r="J27" s="229" t="str">
        <f ca="1">'Material+Limits'!L129</f>
        <v/>
      </c>
      <c r="K27" s="229" t="str">
        <f ca="1">'Material+Limits'!M129</f>
        <v/>
      </c>
      <c r="L27" s="229"/>
      <c r="M27" s="229" t="str">
        <f ca="1">'Material+Limits'!N129</f>
        <v/>
      </c>
      <c r="N27" s="229" t="str">
        <f ca="1">'Material+Limits'!O129</f>
        <v/>
      </c>
      <c r="O27" s="229" t="str">
        <f ca="1">IF('Material+Limits'!P129&lt;&gt;0,'Material+Limits'!P129,"")</f>
        <v/>
      </c>
      <c r="P27" s="229" t="str">
        <f ca="1">IF('Material+Limits'!Q129&lt;&gt;0,'Material+Limits'!Q129,"")</f>
        <v/>
      </c>
    </row>
  </sheetData>
  <sheetProtection password="90CC" sheet="1" objects="1" scenarios="1"/>
  <mergeCells count="3">
    <mergeCell ref="G3:H3"/>
    <mergeCell ref="J3:K3"/>
    <mergeCell ref="B2:N2"/>
  </mergeCells>
  <hyperlinks>
    <hyperlink ref="A1" location="KINVARO!A1" display="KINVARO!A1"/>
  </hyperlinks>
  <pageMargins left="0.7" right="0.7" top="0.78740157499999996" bottom="0.78740157499999996" header="0.3" footer="0.3"/>
  <pageSetup paperSize="9" scale="82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KINVARO</vt:lpstr>
      <vt:lpstr>Daten</vt:lpstr>
      <vt:lpstr>Sprache</vt:lpstr>
      <vt:lpstr>Material+Limits</vt:lpstr>
      <vt:lpstr>S1</vt:lpstr>
      <vt:lpstr>S2</vt:lpstr>
      <vt:lpstr>KINVARO!Druckbereich</vt:lpstr>
      <vt:lpstr>'S1'!Druckbereich</vt:lpstr>
      <vt:lpstr>'S2'!Druckbereich</vt:lpstr>
    </vt:vector>
  </TitlesOfParts>
  <Manager>www.sys33.de</Manager>
  <Company>SYS33 EDV Dienstleistung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GRASS KINVARO Produktfinder</dc:title>
  <dc:creator>Harald Nitz;SYS33 EDV Dienstleistung;www.sys33.de</dc:creator>
  <cp:keywords>Tool</cp:keywords>
  <cp:lastModifiedBy>Harald, Kueper</cp:lastModifiedBy>
  <cp:lastPrinted>2013-03-18T17:56:58Z</cp:lastPrinted>
  <dcterms:created xsi:type="dcterms:W3CDTF">2013-03-11T12:28:47Z</dcterms:created>
  <dcterms:modified xsi:type="dcterms:W3CDTF">2013-07-23T11:21:08Z</dcterms:modified>
  <cp:category>www.sys33.de</cp:category>
</cp:coreProperties>
</file>